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2995" windowHeight="10815" activeTab="0"/>
  </bookViews>
  <sheets>
    <sheet name="consum dec CA" sheetId="1" r:id="rId1"/>
  </sheets>
  <definedNames/>
  <calcPr fullCalcOnLoad="1"/>
</workbook>
</file>

<file path=xl/sharedStrings.xml><?xml version="1.0" encoding="utf-8"?>
<sst xmlns="http://schemas.openxmlformats.org/spreadsheetml/2006/main" count="1258" uniqueCount="164">
  <si>
    <t>CAS HUNEDOARA</t>
  </si>
  <si>
    <t>Serviciu Evaluare - Contractare</t>
  </si>
  <si>
    <t>CREDITE DE ANGAJAMENT FARMACII PNS DECEMBRIE 2017</t>
  </si>
  <si>
    <t>Nr. Crt</t>
  </si>
  <si>
    <t>Nr. PNS</t>
  </si>
  <si>
    <t>Nr. Contr</t>
  </si>
  <si>
    <t>NUME FARMACIE</t>
  </si>
  <si>
    <t>DZ MEDICAMENTE</t>
  </si>
  <si>
    <t>DZ TESTE ADULT</t>
  </si>
  <si>
    <t>DZ TESTE COPII</t>
  </si>
  <si>
    <t>ONCOLOGIE</t>
  </si>
  <si>
    <t>BOLI RARE</t>
  </si>
  <si>
    <t>STARE POSTTRANSPLANT</t>
  </si>
  <si>
    <t>SUME PT. COST-VOLUM</t>
  </si>
  <si>
    <t>TOTAL</t>
  </si>
  <si>
    <t>activitate curenta</t>
  </si>
  <si>
    <t>art.8 alin. 5 si 6 din HG nr.206/2015</t>
  </si>
  <si>
    <t>MUCOVISCI DOZA</t>
  </si>
  <si>
    <t>SCLEROZA LATERALA AMIOTROFICA</t>
  </si>
  <si>
    <t>5.10</t>
  </si>
  <si>
    <t>VIOFARM SRL</t>
  </si>
  <si>
    <t>ianuarie</t>
  </si>
  <si>
    <t>februarie</t>
  </si>
  <si>
    <t>martie</t>
  </si>
  <si>
    <t>TRIM I</t>
  </si>
  <si>
    <t>aprilie</t>
  </si>
  <si>
    <t>mai</t>
  </si>
  <si>
    <t>iunie</t>
  </si>
  <si>
    <t>TRIM II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</si>
  <si>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</si>
  <si>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</si>
  <si>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</si>
  <si>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</si>
  <si>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</si>
  <si>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</si>
  <si>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</si>
  <si>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</si>
  <si>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TOTAL 2017</t>
  </si>
  <si>
    <t>5.12</t>
  </si>
  <si>
    <t>FARMACEUTICA REMEDIA SA</t>
  </si>
  <si>
    <t>5.13</t>
  </si>
  <si>
    <t>DACIAPHARM SRL</t>
  </si>
  <si>
    <t>5.17</t>
  </si>
  <si>
    <t>TACOMI IMPEX SRL</t>
  </si>
  <si>
    <t>5.19</t>
  </si>
  <si>
    <t>FARMACIA REVITALIA SRL</t>
  </si>
  <si>
    <t>5.21</t>
  </si>
  <si>
    <t>TAMIC FARM SRL</t>
  </si>
  <si>
    <t>5.22</t>
  </si>
  <si>
    <t>GALENICA SRL</t>
  </si>
  <si>
    <t>5.23</t>
  </si>
  <si>
    <t>SANOFARM LG SRL</t>
  </si>
  <si>
    <t>5.29</t>
  </si>
  <si>
    <t>ANA FARM SRL</t>
  </si>
  <si>
    <t>5.30</t>
  </si>
  <si>
    <t>GEDEON RICHTER FARMACIA SA</t>
  </si>
  <si>
    <t>5.34</t>
  </si>
  <si>
    <t>VILEUS MED COM SRL</t>
  </si>
  <si>
    <t>5.36</t>
  </si>
  <si>
    <t>SENSIBLU SRL</t>
  </si>
  <si>
    <t>5.42</t>
  </si>
  <si>
    <t>IULIA FARM SRL</t>
  </si>
  <si>
    <t>5.43</t>
  </si>
  <si>
    <t>REMEDICA COM SRL</t>
  </si>
  <si>
    <t>5.44</t>
  </si>
  <si>
    <t>TEA FARMEX SRL</t>
  </si>
  <si>
    <t>5.45</t>
  </si>
  <si>
    <t>ALFA COM SRL</t>
  </si>
  <si>
    <t>5.46</t>
  </si>
  <si>
    <t>FARMACIA LARIX SRL</t>
  </si>
  <si>
    <t>5.48</t>
  </si>
  <si>
    <t>DIANTHUS PHARMA PLUS SRL</t>
  </si>
  <si>
    <t>5.50</t>
  </si>
  <si>
    <t>LOTUS PLUS SRL</t>
  </si>
  <si>
    <t>5.51</t>
  </si>
  <si>
    <t>ROM-DIGI FARM SRL</t>
  </si>
  <si>
    <t>5.55</t>
  </si>
  <si>
    <t>INFINITTI FARMACOM SRL</t>
  </si>
  <si>
    <t>5.56</t>
  </si>
  <si>
    <t>FARMACIA AGORA SRL</t>
  </si>
  <si>
    <t>5.60</t>
  </si>
  <si>
    <t>NARDUS FARM SRL</t>
  </si>
  <si>
    <t>5.61</t>
  </si>
  <si>
    <t>FARMACOM IMPEX SRL</t>
  </si>
  <si>
    <t>5.65</t>
  </si>
  <si>
    <t>HYGEA FARMIMPEX SRL</t>
  </si>
  <si>
    <t>5.66</t>
  </si>
  <si>
    <t>CRIS FARM EXIM SRL</t>
  </si>
  <si>
    <t>5.68</t>
  </si>
  <si>
    <t>FARMA VIDAS SERVCOM IMPEX SRL</t>
  </si>
  <si>
    <t>5.72</t>
  </si>
  <si>
    <t>POP FARM SRL</t>
  </si>
  <si>
    <t>5.74</t>
  </si>
  <si>
    <t>HYPOCRAT  SRL</t>
  </si>
  <si>
    <t>5.75</t>
  </si>
  <si>
    <t>PRODFARM SRL</t>
  </si>
  <si>
    <t>5.78</t>
  </si>
  <si>
    <t>FARMACIA DALIMAR SRL</t>
  </si>
  <si>
    <t>5.79</t>
  </si>
  <si>
    <t>SANACOM V.J. SRL</t>
  </si>
  <si>
    <t>5.80</t>
  </si>
  <si>
    <t>FARMACIA ILE SRL</t>
  </si>
  <si>
    <t>5.81</t>
  </si>
  <si>
    <t>ELIXIR SRL</t>
  </si>
  <si>
    <t>5.83</t>
  </si>
  <si>
    <t>GENTIANA FARM SRL</t>
  </si>
  <si>
    <t>5.84</t>
  </si>
  <si>
    <t>PETFARMASAN SRL oficina</t>
  </si>
  <si>
    <t>5.86</t>
  </si>
  <si>
    <t>FARMACOM CARPATI SRL</t>
  </si>
  <si>
    <t>5.87</t>
  </si>
  <si>
    <t>FARMACIA CENTRUM SRL</t>
  </si>
  <si>
    <t>5.92</t>
  </si>
  <si>
    <t>FARMACIA NORA SRL</t>
  </si>
  <si>
    <t>5.93</t>
  </si>
  <si>
    <t>IND COM IMPEX INTREPID SRL</t>
  </si>
  <si>
    <t>5.94</t>
  </si>
  <si>
    <t>LARIS FARM SRL</t>
  </si>
  <si>
    <t>5.96</t>
  </si>
  <si>
    <t>GRIFI SRL</t>
  </si>
  <si>
    <t>5.97</t>
  </si>
  <si>
    <t>VAL FARM SRL</t>
  </si>
  <si>
    <t>5.100</t>
  </si>
  <si>
    <t>SC MED SERV UNITED SRL</t>
  </si>
  <si>
    <t>5.101</t>
  </si>
  <si>
    <t>HELP NET FARMA SA</t>
  </si>
  <si>
    <t>5.102</t>
  </si>
  <si>
    <t>FARM MED SRL</t>
  </si>
  <si>
    <t>5.107</t>
  </si>
  <si>
    <t xml:space="preserve">FARMACIA VIORICA SRL  </t>
  </si>
  <si>
    <t>5.108</t>
  </si>
  <si>
    <t>NICHI  SILVIA SRL</t>
  </si>
  <si>
    <t>5.109</t>
  </si>
  <si>
    <t>COMART FLORES SRL</t>
  </si>
  <si>
    <t>5.112</t>
  </si>
  <si>
    <t>SAMARFARM SRL cu pct de lucru</t>
  </si>
  <si>
    <t>5.114</t>
  </si>
  <si>
    <t>HIBISCUS SRL</t>
  </si>
  <si>
    <t>5.122</t>
  </si>
  <si>
    <t>S.I.E.P.C.O.F.A.R. SA</t>
  </si>
  <si>
    <t>5.123</t>
  </si>
  <si>
    <t>FARMGENTIANA P. H. SRL</t>
  </si>
  <si>
    <t>5.130</t>
  </si>
  <si>
    <t>PERFECTA FARM SRL</t>
  </si>
  <si>
    <t>5.131</t>
  </si>
  <si>
    <t>NESUCOM SRL</t>
  </si>
  <si>
    <t>5.134</t>
  </si>
  <si>
    <t>ALIFLOR FARM SRL</t>
  </si>
  <si>
    <t>5.135</t>
  </si>
  <si>
    <t>IRIS MIR SRL</t>
  </si>
  <si>
    <t>5.136</t>
  </si>
  <si>
    <t>APOTEKE FARM SRL</t>
  </si>
  <si>
    <t>5.137</t>
  </si>
  <si>
    <t>FAMILY PHARMA SRL</t>
  </si>
  <si>
    <t>5.140</t>
  </si>
  <si>
    <t>TERRA FARM</t>
  </si>
  <si>
    <t>5.141</t>
  </si>
  <si>
    <t>TRANSMED BEST</t>
  </si>
  <si>
    <t>5.142</t>
  </si>
  <si>
    <t>MEDIMFARM TOPFARM</t>
  </si>
  <si>
    <t>FARMA BUSINESS Class-A</t>
  </si>
  <si>
    <t>64</t>
  </si>
  <si>
    <t>5.144</t>
  </si>
  <si>
    <t>RIBES FARM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</si>
</sst>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[Red]\-#,##0.0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0"/>
    </font>
    <font>
      <sz val="9"/>
      <color indexed="62"/>
      <name val="Arial"/>
      <family val="2"/>
    </font>
    <font>
      <sz val="9"/>
      <color indexed="12"/>
      <name val="Arial"/>
      <family val="2"/>
    </font>
    <font>
      <sz val="9"/>
      <color indexed="5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21" fillId="0" borderId="10" xfId="57" applyNumberFormat="1" applyFont="1" applyFill="1" applyBorder="1" applyAlignment="1">
      <alignment horizontal="right"/>
      <protection/>
    </xf>
    <xf numFmtId="3" fontId="21" fillId="0" borderId="11" xfId="57" applyNumberFormat="1" applyFont="1" applyFill="1" applyBorder="1" applyAlignment="1">
      <alignment horizontal="right"/>
      <protection/>
    </xf>
    <xf numFmtId="4" fontId="21" fillId="0" borderId="11" xfId="57" applyNumberFormat="1" applyFont="1" applyFill="1" applyBorder="1" applyAlignment="1">
      <alignment horizontal="right"/>
      <protection/>
    </xf>
    <xf numFmtId="4" fontId="21" fillId="0" borderId="11" xfId="0" applyNumberFormat="1" applyFont="1" applyFill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4" fontId="21" fillId="0" borderId="14" xfId="57" applyNumberFormat="1" applyFont="1" applyFill="1" applyBorder="1" applyAlignment="1">
      <alignment horizontal="right"/>
      <protection/>
    </xf>
    <xf numFmtId="3" fontId="21" fillId="0" borderId="13" xfId="57" applyNumberFormat="1" applyFont="1" applyFill="1" applyBorder="1" applyAlignment="1">
      <alignment horizontal="right"/>
      <protection/>
    </xf>
    <xf numFmtId="4" fontId="21" fillId="0" borderId="13" xfId="57" applyNumberFormat="1" applyFont="1" applyFill="1" applyBorder="1" applyAlignment="1">
      <alignment horizontal="right"/>
      <protection/>
    </xf>
    <xf numFmtId="4" fontId="20" fillId="0" borderId="13" xfId="0" applyNumberFormat="1" applyFont="1" applyFill="1" applyBorder="1" applyAlignment="1">
      <alignment/>
    </xf>
    <xf numFmtId="4" fontId="23" fillId="0" borderId="13" xfId="0" applyNumberFormat="1" applyFont="1" applyFill="1" applyBorder="1" applyAlignment="1">
      <alignment/>
    </xf>
    <xf numFmtId="4" fontId="21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5" xfId="0" applyBorder="1" applyAlignment="1">
      <alignment horizontal="right"/>
    </xf>
    <xf numFmtId="4" fontId="21" fillId="0" borderId="16" xfId="57" applyNumberFormat="1" applyFont="1" applyFill="1" applyBorder="1" applyAlignment="1">
      <alignment horizontal="right"/>
      <protection/>
    </xf>
    <xf numFmtId="3" fontId="21" fillId="0" borderId="17" xfId="57" applyNumberFormat="1" applyFont="1" applyFill="1" applyBorder="1" applyAlignment="1">
      <alignment horizontal="right"/>
      <protection/>
    </xf>
    <xf numFmtId="4" fontId="21" fillId="0" borderId="17" xfId="57" applyNumberFormat="1" applyFont="1" applyFill="1" applyBorder="1" applyAlignment="1">
      <alignment horizontal="right"/>
      <protection/>
    </xf>
    <xf numFmtId="4" fontId="20" fillId="0" borderId="17" xfId="0" applyNumberFormat="1" applyFont="1" applyFill="1" applyBorder="1" applyAlignment="1">
      <alignment/>
    </xf>
    <xf numFmtId="4" fontId="20" fillId="0" borderId="18" xfId="0" applyNumberFormat="1" applyFont="1" applyFill="1" applyBorder="1" applyAlignment="1">
      <alignment/>
    </xf>
    <xf numFmtId="4" fontId="21" fillId="0" borderId="11" xfId="57" applyNumberFormat="1" applyFont="1" applyFill="1" applyBorder="1">
      <alignment/>
      <protection/>
    </xf>
    <xf numFmtId="4" fontId="21" fillId="0" borderId="19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4" fontId="21" fillId="0" borderId="13" xfId="57" applyNumberFormat="1" applyFont="1" applyFill="1" applyBorder="1">
      <alignment/>
      <protection/>
    </xf>
    <xf numFmtId="4" fontId="21" fillId="0" borderId="21" xfId="0" applyNumberFormat="1" applyFont="1" applyFill="1" applyBorder="1" applyAlignment="1">
      <alignment/>
    </xf>
    <xf numFmtId="4" fontId="21" fillId="0" borderId="22" xfId="0" applyNumberFormat="1" applyFont="1" applyFill="1" applyBorder="1" applyAlignment="1">
      <alignment/>
    </xf>
    <xf numFmtId="4" fontId="21" fillId="0" borderId="17" xfId="57" applyNumberFormat="1" applyFont="1" applyFill="1" applyBorder="1">
      <alignment/>
      <protection/>
    </xf>
    <xf numFmtId="4" fontId="21" fillId="0" borderId="12" xfId="57" applyNumberFormat="1" applyFont="1" applyFill="1" applyBorder="1" applyAlignment="1">
      <alignment horizontal="right"/>
      <protection/>
    </xf>
    <xf numFmtId="3" fontId="21" fillId="0" borderId="12" xfId="57" applyNumberFormat="1" applyFont="1" applyFill="1" applyBorder="1" applyAlignment="1">
      <alignment horizontal="right"/>
      <protection/>
    </xf>
    <xf numFmtId="4" fontId="21" fillId="0" borderId="12" xfId="57" applyNumberFormat="1" applyFont="1" applyFill="1" applyBorder="1">
      <alignment/>
      <protection/>
    </xf>
    <xf numFmtId="4" fontId="24" fillId="0" borderId="15" xfId="0" applyFont="1" applyBorder="1" applyAlignment="1">
      <alignment horizontal="right"/>
    </xf>
    <xf numFmtId="4" fontId="20" fillId="0" borderId="23" xfId="0" applyNumberFormat="1" applyFont="1" applyFill="1" applyBorder="1" applyAlignment="1">
      <alignment/>
    </xf>
    <xf numFmtId="4" fontId="23" fillId="0" borderId="13" xfId="57" applyNumberFormat="1" applyFont="1" applyFill="1" applyBorder="1">
      <alignment/>
      <protection/>
    </xf>
    <xf numFmtId="4" fontId="25" fillId="0" borderId="13" xfId="57" applyNumberFormat="1" applyFont="1" applyFill="1" applyBorder="1">
      <alignment/>
      <protection/>
    </xf>
    <xf numFmtId="4" fontId="21" fillId="0" borderId="13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 horizontal="right"/>
    </xf>
    <xf numFmtId="4" fontId="21" fillId="0" borderId="13" xfId="0" applyNumberFormat="1" applyFont="1" applyFill="1" applyBorder="1" applyAlignment="1">
      <alignment horizontal="left"/>
    </xf>
    <xf numFmtId="4" fontId="21" fillId="0" borderId="13" xfId="0" applyNumberFormat="1" applyFont="1" applyFill="1" applyBorder="1" applyAlignment="1">
      <alignment horizontal="left"/>
    </xf>
    <xf numFmtId="4" fontId="21" fillId="0" borderId="17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horizontal="right"/>
    </xf>
    <xf numFmtId="4" fontId="26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/>
    </xf>
    <xf numFmtId="4" fontId="21" fillId="0" borderId="24" xfId="0" applyNumberFormat="1" applyFont="1" applyFill="1" applyBorder="1" applyAlignment="1">
      <alignment horizontal="right"/>
    </xf>
    <xf numFmtId="4" fontId="21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/>
    </xf>
    <xf numFmtId="4" fontId="20" fillId="0" borderId="26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 horizontal="right"/>
    </xf>
    <xf numFmtId="4" fontId="21" fillId="0" borderId="17" xfId="0" applyNumberFormat="1" applyFont="1" applyFill="1" applyBorder="1" applyAlignment="1">
      <alignment horizontal="right"/>
    </xf>
    <xf numFmtId="4" fontId="21" fillId="0" borderId="0" xfId="57" applyNumberFormat="1" applyFont="1" applyFill="1" applyBorder="1" applyAlignment="1">
      <alignment horizontal="right"/>
      <protection/>
    </xf>
    <xf numFmtId="3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0" fillId="0" borderId="11" xfId="57" applyNumberFormat="1" applyFont="1" applyFill="1" applyBorder="1" applyAlignment="1">
      <alignment horizontal="center" vertical="center" wrapText="1"/>
      <protection/>
    </xf>
    <xf numFmtId="4" fontId="21" fillId="0" borderId="27" xfId="57" applyNumberFormat="1" applyFont="1" applyFill="1" applyBorder="1" applyAlignment="1">
      <alignment horizontal="right"/>
      <protection/>
    </xf>
    <xf numFmtId="4" fontId="21" fillId="0" borderId="28" xfId="0" applyNumberFormat="1" applyFont="1" applyFill="1" applyBorder="1" applyAlignment="1">
      <alignment/>
    </xf>
    <xf numFmtId="4" fontId="21" fillId="0" borderId="0" xfId="0" applyNumberFormat="1" applyFont="1" applyBorder="1" applyAlignment="1">
      <alignment/>
    </xf>
    <xf numFmtId="4" fontId="21" fillId="0" borderId="29" xfId="57" applyNumberFormat="1" applyFont="1" applyFill="1" applyBorder="1" applyAlignment="1">
      <alignment horizontal="right"/>
      <protection/>
    </xf>
    <xf numFmtId="4" fontId="20" fillId="0" borderId="17" xfId="57" applyNumberFormat="1" applyFont="1" applyFill="1" applyBorder="1" applyAlignment="1">
      <alignment horizontal="center" vertical="center" wrapText="1"/>
      <protection/>
    </xf>
    <xf numFmtId="4" fontId="22" fillId="0" borderId="17" xfId="57" applyNumberFormat="1" applyFont="1" applyFill="1" applyBorder="1" applyAlignment="1">
      <alignment horizontal="center" vertical="center" wrapText="1"/>
      <protection/>
    </xf>
    <xf numFmtId="4" fontId="20" fillId="0" borderId="20" xfId="57" applyNumberFormat="1" applyFont="1" applyFill="1" applyBorder="1" applyAlignment="1">
      <alignment horizontal="center" vertical="center" wrapText="1"/>
      <protection/>
    </xf>
    <xf numFmtId="4" fontId="20" fillId="0" borderId="18" xfId="57" applyNumberFormat="1" applyFont="1" applyFill="1" applyBorder="1" applyAlignment="1">
      <alignment horizontal="center" vertical="center" wrapText="1"/>
      <protection/>
    </xf>
    <xf numFmtId="4" fontId="20" fillId="0" borderId="10" xfId="57" applyNumberFormat="1" applyFont="1" applyFill="1" applyBorder="1" applyAlignment="1">
      <alignment horizontal="center" vertical="center" wrapText="1"/>
      <protection/>
    </xf>
    <xf numFmtId="4" fontId="20" fillId="0" borderId="16" xfId="57" applyNumberFormat="1" applyFont="1" applyFill="1" applyBorder="1" applyAlignment="1">
      <alignment horizontal="center" vertical="center" wrapText="1"/>
      <protection/>
    </xf>
    <xf numFmtId="3" fontId="20" fillId="0" borderId="11" xfId="57" applyNumberFormat="1" applyFont="1" applyFill="1" applyBorder="1" applyAlignment="1">
      <alignment horizontal="center" vertical="center" wrapText="1"/>
      <protection/>
    </xf>
    <xf numFmtId="3" fontId="20" fillId="0" borderId="17" xfId="57" applyNumberFormat="1" applyFont="1" applyFill="1" applyBorder="1" applyAlignment="1">
      <alignment horizontal="center" vertical="center" wrapText="1"/>
      <protection/>
    </xf>
    <xf numFmtId="4" fontId="20" fillId="0" borderId="11" xfId="57" applyNumberFormat="1" applyFont="1" applyFill="1" applyBorder="1" applyAlignment="1">
      <alignment horizontal="center" vertical="center" wrapText="1"/>
      <protection/>
    </xf>
    <xf numFmtId="4" fontId="20" fillId="0" borderId="17" xfId="57" applyNumberFormat="1" applyFont="1" applyFill="1" applyBorder="1" applyAlignment="1">
      <alignment horizontal="center" vertical="center" wrapText="1"/>
      <protection/>
    </xf>
    <xf numFmtId="4" fontId="22" fillId="0" borderId="11" xfId="57" applyNumberFormat="1" applyFont="1" applyFill="1" applyBorder="1" applyAlignment="1">
      <alignment horizontal="center" vertical="center" wrapText="1"/>
      <protection/>
    </xf>
    <xf numFmtId="4" fontId="21" fillId="0" borderId="30" xfId="57" applyNumberFormat="1" applyFont="1" applyFill="1" applyBorder="1" applyAlignment="1">
      <alignment horizontal="center" vertical="top"/>
      <protection/>
    </xf>
    <xf numFmtId="4" fontId="21" fillId="0" borderId="31" xfId="57" applyNumberFormat="1" applyFont="1" applyFill="1" applyBorder="1" applyAlignment="1">
      <alignment horizontal="center" vertical="top"/>
      <protection/>
    </xf>
    <xf numFmtId="4" fontId="22" fillId="0" borderId="17" xfId="57" applyNumberFormat="1" applyFont="1" applyFill="1" applyBorder="1" applyAlignment="1">
      <alignment horizontal="center" vertical="center" wrapText="1"/>
      <protection/>
    </xf>
    <xf numFmtId="4" fontId="22" fillId="0" borderId="19" xfId="57" applyNumberFormat="1" applyFont="1" applyFill="1" applyBorder="1" applyAlignment="1">
      <alignment horizontal="center" vertical="center" wrapText="1"/>
      <protection/>
    </xf>
    <xf numFmtId="4" fontId="22" fillId="0" borderId="32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beriu_nichifor@yahoo.com" TargetMode="External" /><Relationship Id="rId2" Type="http://schemas.openxmlformats.org/officeDocument/2006/relationships/hyperlink" Target="mailto:tiberiu_nichifor@yahoo.com" TargetMode="External" /><Relationship Id="rId3" Type="http://schemas.openxmlformats.org/officeDocument/2006/relationships/hyperlink" Target="mailto:medre_irina@yahoo.com" TargetMode="External" /><Relationship Id="rId4" Type="http://schemas.openxmlformats.org/officeDocument/2006/relationships/hyperlink" Target="mailto:tiberiu_nichifor@yahoo.com" TargetMode="External" /><Relationship Id="rId5" Type="http://schemas.openxmlformats.org/officeDocument/2006/relationships/hyperlink" Target="mailto:medre_irina@yahoo.com" TargetMode="External" /><Relationship Id="rId6" Type="http://schemas.openxmlformats.org/officeDocument/2006/relationships/hyperlink" Target="mailto:medre_irina@yahoo.com" TargetMode="External" /><Relationship Id="rId7" Type="http://schemas.openxmlformats.org/officeDocument/2006/relationships/hyperlink" Target="mailto:tiberiu_nichifor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2"/>
  <sheetViews>
    <sheetView tabSelected="1" workbookViewId="0" topLeftCell="A4">
      <pane xSplit="5" ySplit="3" topLeftCell="F7" activePane="bottomRight" state="frozen"/>
      <selection pane="topLeft" activeCell="A4" sqref="A4"/>
      <selection pane="topRight" activeCell="F4" sqref="F4"/>
      <selection pane="bottomLeft" activeCell="A7" sqref="A7"/>
      <selection pane="bottomRight" activeCell="D1102" sqref="D1102"/>
    </sheetView>
  </sheetViews>
  <sheetFormatPr defaultColWidth="8.8515625" defaultRowHeight="12.75"/>
  <cols>
    <col min="1" max="1" width="4.8515625" style="3" customWidth="1"/>
    <col min="2" max="2" width="5.00390625" style="2" customWidth="1"/>
    <col min="3" max="3" width="5.421875" style="3" hidden="1" customWidth="1"/>
    <col min="4" max="4" width="13.57421875" style="3" customWidth="1"/>
    <col min="5" max="5" width="11.00390625" style="3" customWidth="1"/>
    <col min="6" max="7" width="12.28125" style="3" bestFit="1" customWidth="1"/>
    <col min="8" max="8" width="11.8515625" style="3" bestFit="1" customWidth="1"/>
    <col min="9" max="9" width="11.28125" style="3" bestFit="1" customWidth="1"/>
    <col min="10" max="10" width="12.00390625" style="3" bestFit="1" customWidth="1"/>
    <col min="11" max="11" width="12.28125" style="3" bestFit="1" customWidth="1"/>
    <col min="12" max="12" width="11.28125" style="3" bestFit="1" customWidth="1"/>
    <col min="13" max="13" width="9.8515625" style="3" customWidth="1"/>
    <col min="14" max="14" width="13.00390625" style="3" customWidth="1"/>
    <col min="15" max="15" width="11.8515625" style="3" customWidth="1"/>
    <col min="16" max="16" width="12.28125" style="3" bestFit="1" customWidth="1"/>
    <col min="17" max="17" width="13.00390625" style="3" bestFit="1" customWidth="1"/>
    <col min="18" max="16384" width="8.8515625" style="3" customWidth="1"/>
  </cols>
  <sheetData>
    <row r="1" ht="12">
      <c r="A1" s="1" t="s">
        <v>0</v>
      </c>
    </row>
    <row r="2" ht="12">
      <c r="A2" s="4" t="s">
        <v>1</v>
      </c>
    </row>
    <row r="4" ht="12.75" thickBot="1">
      <c r="D4" s="4" t="s">
        <v>2</v>
      </c>
    </row>
    <row r="5" spans="1:17" ht="36" customHeight="1">
      <c r="A5" s="70" t="s">
        <v>3</v>
      </c>
      <c r="B5" s="72" t="s">
        <v>4</v>
      </c>
      <c r="C5" s="61" t="s">
        <v>5</v>
      </c>
      <c r="D5" s="74" t="s">
        <v>6</v>
      </c>
      <c r="E5" s="74"/>
      <c r="F5" s="76" t="s">
        <v>7</v>
      </c>
      <c r="G5" s="76"/>
      <c r="H5" s="76" t="s">
        <v>8</v>
      </c>
      <c r="I5" s="76"/>
      <c r="J5" s="76" t="s">
        <v>9</v>
      </c>
      <c r="K5" s="76" t="s">
        <v>10</v>
      </c>
      <c r="L5" s="76"/>
      <c r="M5" s="80" t="s">
        <v>11</v>
      </c>
      <c r="N5" s="81"/>
      <c r="O5" s="76" t="s">
        <v>12</v>
      </c>
      <c r="P5" s="76" t="s">
        <v>13</v>
      </c>
      <c r="Q5" s="68" t="s">
        <v>14</v>
      </c>
    </row>
    <row r="6" spans="1:17" ht="48.75" thickBot="1">
      <c r="A6" s="71"/>
      <c r="B6" s="73"/>
      <c r="C6" s="66"/>
      <c r="D6" s="75"/>
      <c r="E6" s="75"/>
      <c r="F6" s="66" t="s">
        <v>15</v>
      </c>
      <c r="G6" s="66" t="s">
        <v>16</v>
      </c>
      <c r="H6" s="66" t="s">
        <v>15</v>
      </c>
      <c r="I6" s="66" t="s">
        <v>16</v>
      </c>
      <c r="J6" s="79"/>
      <c r="K6" s="66" t="s">
        <v>15</v>
      </c>
      <c r="L6" s="66" t="s">
        <v>16</v>
      </c>
      <c r="M6" s="67" t="s">
        <v>17</v>
      </c>
      <c r="N6" s="67" t="s">
        <v>18</v>
      </c>
      <c r="O6" s="79"/>
      <c r="P6" s="79"/>
      <c r="Q6" s="69"/>
    </row>
    <row r="7" spans="1:17" ht="12">
      <c r="A7" s="62">
        <v>1</v>
      </c>
      <c r="B7" s="32">
        <v>30</v>
      </c>
      <c r="C7" s="31" t="s">
        <v>19</v>
      </c>
      <c r="D7" s="77" t="s">
        <v>20</v>
      </c>
      <c r="E7" s="9" t="s">
        <v>21</v>
      </c>
      <c r="F7" s="9">
        <v>23423.99</v>
      </c>
      <c r="G7" s="9"/>
      <c r="H7" s="9">
        <v>1560</v>
      </c>
      <c r="I7" s="9"/>
      <c r="J7" s="9">
        <v>420</v>
      </c>
      <c r="K7" s="9">
        <v>49.78</v>
      </c>
      <c r="L7" s="9"/>
      <c r="M7" s="9"/>
      <c r="N7" s="9"/>
      <c r="O7" s="9"/>
      <c r="P7" s="9"/>
      <c r="Q7" s="63">
        <f aca="true" t="shared" si="0" ref="Q7:Q22">SUM(F7:P7)</f>
        <v>25453.77</v>
      </c>
    </row>
    <row r="8" spans="1:17" ht="12">
      <c r="A8" s="11"/>
      <c r="B8" s="12"/>
      <c r="C8" s="13"/>
      <c r="D8" s="77"/>
      <c r="E8" s="10" t="s">
        <v>22</v>
      </c>
      <c r="F8" s="10">
        <v>32904.38</v>
      </c>
      <c r="G8" s="10"/>
      <c r="H8" s="10">
        <v>2160</v>
      </c>
      <c r="I8" s="10"/>
      <c r="J8" s="10">
        <v>420</v>
      </c>
      <c r="K8" s="10">
        <v>825.87</v>
      </c>
      <c r="L8" s="10"/>
      <c r="M8" s="10"/>
      <c r="N8" s="10"/>
      <c r="O8" s="10"/>
      <c r="P8" s="10"/>
      <c r="Q8" s="29">
        <f t="shared" si="0"/>
        <v>36310.25</v>
      </c>
    </row>
    <row r="9" spans="1:17" ht="12">
      <c r="A9" s="11"/>
      <c r="B9" s="12"/>
      <c r="C9" s="13"/>
      <c r="D9" s="77"/>
      <c r="E9" s="10" t="s">
        <v>23</v>
      </c>
      <c r="F9" s="10">
        <v>35144.87</v>
      </c>
      <c r="G9" s="10"/>
      <c r="H9" s="10">
        <v>2160</v>
      </c>
      <c r="I9" s="10"/>
      <c r="J9" s="10"/>
      <c r="K9" s="10">
        <v>321.86</v>
      </c>
      <c r="L9" s="10"/>
      <c r="M9" s="10"/>
      <c r="N9" s="10"/>
      <c r="O9" s="10"/>
      <c r="P9" s="10"/>
      <c r="Q9" s="29">
        <f t="shared" si="0"/>
        <v>37626.73</v>
      </c>
    </row>
    <row r="10" spans="1:17" ht="12">
      <c r="A10" s="11"/>
      <c r="B10" s="12"/>
      <c r="C10" s="13"/>
      <c r="D10" s="77"/>
      <c r="E10" s="14" t="s">
        <v>24</v>
      </c>
      <c r="F10" s="14">
        <f aca="true" t="shared" si="1" ref="F10:P10">SUM(F7:F9)</f>
        <v>91473.23999999999</v>
      </c>
      <c r="G10" s="14">
        <f t="shared" si="1"/>
        <v>0</v>
      </c>
      <c r="H10" s="14">
        <f t="shared" si="1"/>
        <v>5880</v>
      </c>
      <c r="I10" s="14">
        <f t="shared" si="1"/>
        <v>0</v>
      </c>
      <c r="J10" s="14">
        <f t="shared" si="1"/>
        <v>840</v>
      </c>
      <c r="K10" s="14">
        <f t="shared" si="1"/>
        <v>1197.51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55">
        <f t="shared" si="0"/>
        <v>99390.74999999999</v>
      </c>
    </row>
    <row r="11" spans="1:17" ht="12">
      <c r="A11" s="11"/>
      <c r="B11" s="12"/>
      <c r="C11" s="13"/>
      <c r="D11" s="77"/>
      <c r="E11" s="10" t="s">
        <v>25</v>
      </c>
      <c r="F11" s="10">
        <v>27346.4</v>
      </c>
      <c r="G11" s="10"/>
      <c r="H11" s="10">
        <v>1680</v>
      </c>
      <c r="I11" s="10"/>
      <c r="J11" s="10">
        <v>840</v>
      </c>
      <c r="K11" s="10">
        <v>2141.01</v>
      </c>
      <c r="L11" s="10"/>
      <c r="M11" s="10"/>
      <c r="N11" s="10"/>
      <c r="O11" s="10"/>
      <c r="P11" s="10"/>
      <c r="Q11" s="29">
        <f t="shared" si="0"/>
        <v>32007.410000000003</v>
      </c>
    </row>
    <row r="12" spans="1:17" ht="12">
      <c r="A12" s="11"/>
      <c r="B12" s="12"/>
      <c r="C12" s="13"/>
      <c r="D12" s="77"/>
      <c r="E12" s="10" t="s">
        <v>26</v>
      </c>
      <c r="F12" s="10">
        <v>28674.06</v>
      </c>
      <c r="G12" s="10"/>
      <c r="H12" s="10">
        <v>1440</v>
      </c>
      <c r="I12" s="10"/>
      <c r="J12" s="10">
        <v>480</v>
      </c>
      <c r="K12" s="10">
        <v>622.92</v>
      </c>
      <c r="L12" s="10"/>
      <c r="M12" s="10"/>
      <c r="N12" s="10"/>
      <c r="O12" s="10"/>
      <c r="P12" s="10"/>
      <c r="Q12" s="29">
        <f t="shared" si="0"/>
        <v>31216.98</v>
      </c>
    </row>
    <row r="13" spans="1:17" ht="12">
      <c r="A13" s="11"/>
      <c r="B13" s="12"/>
      <c r="C13" s="13"/>
      <c r="D13" s="77"/>
      <c r="E13" s="10" t="s">
        <v>27</v>
      </c>
      <c r="F13" s="15">
        <f>35341.58-35341.58</f>
        <v>0</v>
      </c>
      <c r="G13" s="10"/>
      <c r="H13" s="10">
        <f>2268</f>
        <v>2268</v>
      </c>
      <c r="I13" s="10"/>
      <c r="J13" s="10">
        <v>480</v>
      </c>
      <c r="K13" s="10">
        <v>1239.13</v>
      </c>
      <c r="L13" s="10"/>
      <c r="M13" s="10"/>
      <c r="N13" s="10"/>
      <c r="O13" s="10"/>
      <c r="P13" s="10"/>
      <c r="Q13" s="29">
        <f t="shared" si="0"/>
        <v>3987.13</v>
      </c>
    </row>
    <row r="14" spans="1:17" ht="12">
      <c r="A14" s="11"/>
      <c r="B14" s="12"/>
      <c r="C14" s="13"/>
      <c r="D14" s="77"/>
      <c r="E14" s="14" t="s">
        <v>28</v>
      </c>
      <c r="F14" s="14">
        <f aca="true" t="shared" si="2" ref="F14:P14">SUM(F11:F13)</f>
        <v>56020.46000000001</v>
      </c>
      <c r="G14" s="14">
        <f t="shared" si="2"/>
        <v>0</v>
      </c>
      <c r="H14" s="14">
        <f t="shared" si="2"/>
        <v>5388</v>
      </c>
      <c r="I14" s="14">
        <f t="shared" si="2"/>
        <v>0</v>
      </c>
      <c r="J14" s="14">
        <f t="shared" si="2"/>
        <v>1800</v>
      </c>
      <c r="K14" s="14">
        <f t="shared" si="2"/>
        <v>4003.0600000000004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si="2"/>
        <v>0</v>
      </c>
      <c r="Q14" s="55">
        <f t="shared" si="0"/>
        <v>67211.52</v>
      </c>
    </row>
    <row r="15" spans="1:17" ht="12">
      <c r="A15" s="11"/>
      <c r="B15" s="12"/>
      <c r="C15" s="13"/>
      <c r="D15" s="77"/>
      <c r="E15" s="10" t="s">
        <v>29</v>
      </c>
      <c r="F15" s="15">
        <f>35341.58+24741.79</f>
        <v>60083.37</v>
      </c>
      <c r="G15" s="10"/>
      <c r="H15" s="16">
        <v>1212</v>
      </c>
      <c r="I15" s="10"/>
      <c r="J15" s="16">
        <v>480</v>
      </c>
      <c r="K15" s="10">
        <v>1149.51</v>
      </c>
      <c r="L15" s="10"/>
      <c r="M15" s="10"/>
      <c r="N15" s="10"/>
      <c r="O15" s="10"/>
      <c r="P15" s="10"/>
      <c r="Q15" s="29">
        <f t="shared" si="0"/>
        <v>62924.880000000005</v>
      </c>
    </row>
    <row r="16" spans="1:17" ht="12.75">
      <c r="A16" s="11"/>
      <c r="B16" s="12"/>
      <c r="C16" s="13"/>
      <c r="D16" s="77"/>
      <c r="E16" s="10" t="s">
        <v>30</v>
      </c>
      <c r="F16" s="10">
        <v>22246.56</v>
      </c>
      <c r="G16" s="10"/>
      <c r="H16" s="17">
        <v>1080</v>
      </c>
      <c r="I16" s="10"/>
      <c r="J16" s="17">
        <v>480</v>
      </c>
      <c r="K16" s="17">
        <v>1124.55</v>
      </c>
      <c r="L16" s="10"/>
      <c r="M16" s="10"/>
      <c r="N16" s="10"/>
      <c r="O16" s="10"/>
      <c r="P16" s="10"/>
      <c r="Q16" s="29">
        <f t="shared" si="0"/>
        <v>24931.11</v>
      </c>
    </row>
    <row r="17" spans="1:17" ht="12.75">
      <c r="A17" s="11"/>
      <c r="B17" s="12"/>
      <c r="C17" s="13"/>
      <c r="D17" s="77"/>
      <c r="E17" s="10" t="s">
        <v>31</v>
      </c>
      <c r="F17" s="10">
        <v>29105.57</v>
      </c>
      <c r="G17" s="10"/>
      <c r="H17" s="17">
        <v>1920</v>
      </c>
      <c r="I17" s="10"/>
      <c r="J17" s="17">
        <v>480</v>
      </c>
      <c r="K17" s="17">
        <v>1458.93</v>
      </c>
      <c r="L17" s="10"/>
      <c r="M17" s="10"/>
      <c r="N17" s="10"/>
      <c r="O17" s="10"/>
      <c r="P17" s="10"/>
      <c r="Q17" s="29">
        <f t="shared" si="0"/>
        <v>32964.5</v>
      </c>
    </row>
    <row r="18" spans="1:17" ht="12">
      <c r="A18" s="11"/>
      <c r="B18" s="12"/>
      <c r="C18" s="13"/>
      <c r="D18" s="77"/>
      <c r="E18" s="14" t="s">
        <v>32</v>
      </c>
      <c r="F18" s="14">
        <f aca="true" t="shared" si="3" ref="F18:P18">SUM(F15:F17)</f>
        <v>111435.5</v>
      </c>
      <c r="G18" s="14">
        <f t="shared" si="3"/>
        <v>0</v>
      </c>
      <c r="H18" s="14">
        <f t="shared" si="3"/>
        <v>4212</v>
      </c>
      <c r="I18" s="14">
        <f t="shared" si="3"/>
        <v>0</v>
      </c>
      <c r="J18" s="14">
        <f t="shared" si="3"/>
        <v>1440</v>
      </c>
      <c r="K18" s="14">
        <f t="shared" si="3"/>
        <v>3732.99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 t="shared" si="3"/>
        <v>0</v>
      </c>
      <c r="P18" s="14">
        <f t="shared" si="3"/>
        <v>0</v>
      </c>
      <c r="Q18" s="55">
        <f t="shared" si="0"/>
        <v>120820.49</v>
      </c>
    </row>
    <row r="19" spans="1:17" ht="12.75">
      <c r="A19" s="11"/>
      <c r="B19" s="12"/>
      <c r="C19" s="13"/>
      <c r="D19" s="77"/>
      <c r="E19" s="10" t="s">
        <v>33</v>
      </c>
      <c r="F19" s="10">
        <v>30879.93</v>
      </c>
      <c r="G19" s="10"/>
      <c r="H19" s="17">
        <v>2040</v>
      </c>
      <c r="I19" s="10"/>
      <c r="J19" s="17">
        <v>960</v>
      </c>
      <c r="K19" s="17">
        <v>830.35</v>
      </c>
      <c r="L19" s="10"/>
      <c r="M19" s="10"/>
      <c r="N19" s="10"/>
      <c r="O19" s="10"/>
      <c r="P19" s="10"/>
      <c r="Q19" s="29">
        <f t="shared" si="0"/>
        <v>34710.28</v>
      </c>
    </row>
    <row r="20" spans="1:17" ht="12.75">
      <c r="A20" s="11"/>
      <c r="B20" s="12"/>
      <c r="C20" s="13"/>
      <c r="D20" s="77"/>
      <c r="E20" s="10" t="s">
        <v>34</v>
      </c>
      <c r="F20" s="10">
        <v>31681.42</v>
      </c>
      <c r="G20" s="10"/>
      <c r="H20" s="17">
        <v>1440</v>
      </c>
      <c r="I20" s="10"/>
      <c r="J20" s="17">
        <v>480</v>
      </c>
      <c r="K20" s="17">
        <v>23664.29</v>
      </c>
      <c r="L20" s="10"/>
      <c r="M20" s="10"/>
      <c r="N20" s="10"/>
      <c r="O20" s="10"/>
      <c r="P20" s="10"/>
      <c r="Q20" s="29">
        <f t="shared" si="0"/>
        <v>57265.71</v>
      </c>
    </row>
    <row r="21" spans="1:17" ht="12.75">
      <c r="A21" s="11"/>
      <c r="B21" s="12"/>
      <c r="C21" s="13"/>
      <c r="D21" s="77"/>
      <c r="E21" s="10" t="s">
        <v>35</v>
      </c>
      <c r="F21" s="10">
        <v>31439.46</v>
      </c>
      <c r="G21" s="10"/>
      <c r="H21" s="18">
        <v>2040</v>
      </c>
      <c r="I21" s="10"/>
      <c r="J21" s="18">
        <v>480</v>
      </c>
      <c r="K21" s="10"/>
      <c r="L21" s="10"/>
      <c r="M21" s="10"/>
      <c r="N21" s="10"/>
      <c r="O21" s="10"/>
      <c r="P21" s="18">
        <v>13426.33</v>
      </c>
      <c r="Q21" s="29">
        <f t="shared" si="0"/>
        <v>47385.79</v>
      </c>
    </row>
    <row r="22" spans="1:17" ht="12">
      <c r="A22" s="11"/>
      <c r="B22" s="12"/>
      <c r="C22" s="13"/>
      <c r="D22" s="77"/>
      <c r="E22" s="14" t="s">
        <v>36</v>
      </c>
      <c r="F22" s="14">
        <f aca="true" t="shared" si="4" ref="F22:P22">SUM(F19:F21)</f>
        <v>94000.81</v>
      </c>
      <c r="G22" s="14">
        <f t="shared" si="4"/>
        <v>0</v>
      </c>
      <c r="H22" s="14">
        <f t="shared" si="4"/>
        <v>5520</v>
      </c>
      <c r="I22" s="14">
        <f t="shared" si="4"/>
        <v>0</v>
      </c>
      <c r="J22" s="14">
        <f t="shared" si="4"/>
        <v>1920</v>
      </c>
      <c r="K22" s="14">
        <f t="shared" si="4"/>
        <v>24494.64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13426.33</v>
      </c>
      <c r="Q22" s="55">
        <f t="shared" si="0"/>
        <v>139361.78</v>
      </c>
    </row>
    <row r="23" spans="1:17" ht="12.75" thickBot="1">
      <c r="A23" s="19"/>
      <c r="B23" s="20"/>
      <c r="C23" s="21"/>
      <c r="D23" s="78"/>
      <c r="E23" s="22" t="s">
        <v>37</v>
      </c>
      <c r="F23" s="22">
        <f aca="true" t="shared" si="5" ref="F23:Q23">F10+F14+F18+F22</f>
        <v>352930.01</v>
      </c>
      <c r="G23" s="22">
        <f t="shared" si="5"/>
        <v>0</v>
      </c>
      <c r="H23" s="22">
        <f t="shared" si="5"/>
        <v>21000</v>
      </c>
      <c r="I23" s="22">
        <f t="shared" si="5"/>
        <v>0</v>
      </c>
      <c r="J23" s="22">
        <f t="shared" si="5"/>
        <v>6000</v>
      </c>
      <c r="K23" s="22">
        <f t="shared" si="5"/>
        <v>33428.2</v>
      </c>
      <c r="L23" s="22">
        <f t="shared" si="5"/>
        <v>0</v>
      </c>
      <c r="M23" s="22">
        <f t="shared" si="5"/>
        <v>0</v>
      </c>
      <c r="N23" s="22">
        <f t="shared" si="5"/>
        <v>0</v>
      </c>
      <c r="O23" s="22">
        <f t="shared" si="5"/>
        <v>0</v>
      </c>
      <c r="P23" s="22">
        <f t="shared" si="5"/>
        <v>13426.33</v>
      </c>
      <c r="Q23" s="23">
        <f t="shared" si="5"/>
        <v>426784.54000000004</v>
      </c>
    </row>
    <row r="24" spans="1:17" ht="12">
      <c r="A24" s="5">
        <v>2</v>
      </c>
      <c r="B24" s="6">
        <v>16</v>
      </c>
      <c r="C24" s="7" t="s">
        <v>38</v>
      </c>
      <c r="D24" s="24" t="s">
        <v>39</v>
      </c>
      <c r="E24" s="8" t="s">
        <v>21</v>
      </c>
      <c r="F24" s="8">
        <v>160898.91</v>
      </c>
      <c r="G24" s="8"/>
      <c r="H24" s="8">
        <v>11986.8</v>
      </c>
      <c r="I24" s="8"/>
      <c r="J24" s="8">
        <v>420</v>
      </c>
      <c r="K24" s="8">
        <v>69301.27</v>
      </c>
      <c r="L24" s="8">
        <v>8387.81</v>
      </c>
      <c r="M24" s="8"/>
      <c r="N24" s="8"/>
      <c r="O24" s="8">
        <v>32380.64</v>
      </c>
      <c r="P24" s="25">
        <v>30331.98</v>
      </c>
      <c r="Q24" s="26">
        <f aca="true" t="shared" si="6" ref="Q24:Q39">SUM(F24:P24)</f>
        <v>313707.41</v>
      </c>
    </row>
    <row r="25" spans="1:17" ht="12">
      <c r="A25" s="11"/>
      <c r="B25" s="12"/>
      <c r="C25" s="13"/>
      <c r="D25" s="27"/>
      <c r="E25" s="10" t="s">
        <v>22</v>
      </c>
      <c r="F25" s="10">
        <v>152686.63</v>
      </c>
      <c r="G25" s="10"/>
      <c r="H25" s="10">
        <v>12643.2</v>
      </c>
      <c r="I25" s="10"/>
      <c r="J25" s="10">
        <v>1680</v>
      </c>
      <c r="K25" s="10">
        <v>53241.37</v>
      </c>
      <c r="L25" s="10"/>
      <c r="M25" s="10">
        <v>361.8</v>
      </c>
      <c r="N25" s="10"/>
      <c r="O25" s="10">
        <v>27499.6</v>
      </c>
      <c r="P25" s="28">
        <v>30331.98</v>
      </c>
      <c r="Q25" s="29">
        <f t="shared" si="6"/>
        <v>278444.58</v>
      </c>
    </row>
    <row r="26" spans="1:17" ht="12">
      <c r="A26" s="11"/>
      <c r="B26" s="12"/>
      <c r="C26" s="13"/>
      <c r="D26" s="27"/>
      <c r="E26" s="10" t="s">
        <v>23</v>
      </c>
      <c r="F26" s="10">
        <v>169418.58</v>
      </c>
      <c r="G26" s="10"/>
      <c r="H26" s="10">
        <v>14187.6</v>
      </c>
      <c r="I26" s="10"/>
      <c r="J26" s="10">
        <v>960</v>
      </c>
      <c r="K26" s="10">
        <v>57381.64</v>
      </c>
      <c r="L26" s="10"/>
      <c r="M26" s="10"/>
      <c r="N26" s="10"/>
      <c r="O26" s="10">
        <v>9388.25</v>
      </c>
      <c r="P26" s="28">
        <v>30331.98</v>
      </c>
      <c r="Q26" s="29">
        <f t="shared" si="6"/>
        <v>281668.05</v>
      </c>
    </row>
    <row r="27" spans="1:17" ht="12">
      <c r="A27" s="11"/>
      <c r="B27" s="12"/>
      <c r="C27" s="13"/>
      <c r="D27" s="27"/>
      <c r="E27" s="14" t="s">
        <v>24</v>
      </c>
      <c r="F27" s="14">
        <f aca="true" t="shared" si="7" ref="F27:P27">SUM(F24:F26)</f>
        <v>483004.12</v>
      </c>
      <c r="G27" s="14">
        <f t="shared" si="7"/>
        <v>0</v>
      </c>
      <c r="H27" s="14">
        <f t="shared" si="7"/>
        <v>38817.6</v>
      </c>
      <c r="I27" s="14">
        <f t="shared" si="7"/>
        <v>0</v>
      </c>
      <c r="J27" s="14">
        <f t="shared" si="7"/>
        <v>3060</v>
      </c>
      <c r="K27" s="14">
        <f t="shared" si="7"/>
        <v>179924.28000000003</v>
      </c>
      <c r="L27" s="14">
        <f t="shared" si="7"/>
        <v>8387.81</v>
      </c>
      <c r="M27" s="14">
        <f t="shared" si="7"/>
        <v>361.8</v>
      </c>
      <c r="N27" s="14">
        <f t="shared" si="7"/>
        <v>0</v>
      </c>
      <c r="O27" s="14">
        <f t="shared" si="7"/>
        <v>69268.48999999999</v>
      </c>
      <c r="P27" s="14">
        <f t="shared" si="7"/>
        <v>90995.94</v>
      </c>
      <c r="Q27" s="55">
        <f t="shared" si="6"/>
        <v>873820.04</v>
      </c>
    </row>
    <row r="28" spans="1:17" ht="12">
      <c r="A28" s="11"/>
      <c r="B28" s="12"/>
      <c r="C28" s="13"/>
      <c r="D28" s="27"/>
      <c r="E28" s="10" t="s">
        <v>25</v>
      </c>
      <c r="F28" s="10">
        <v>141377.21</v>
      </c>
      <c r="G28" s="10"/>
      <c r="H28" s="10">
        <v>11522.4</v>
      </c>
      <c r="I28" s="10"/>
      <c r="J28" s="10"/>
      <c r="K28" s="10">
        <v>73227.08</v>
      </c>
      <c r="L28" s="10"/>
      <c r="M28" s="10"/>
      <c r="N28" s="10"/>
      <c r="O28" s="10">
        <v>26184.81</v>
      </c>
      <c r="P28" s="10">
        <v>30331.98</v>
      </c>
      <c r="Q28" s="29">
        <f t="shared" si="6"/>
        <v>282643.48</v>
      </c>
    </row>
    <row r="29" spans="1:17" ht="12">
      <c r="A29" s="11"/>
      <c r="B29" s="12"/>
      <c r="C29" s="13"/>
      <c r="D29" s="27"/>
      <c r="E29" s="10" t="s">
        <v>26</v>
      </c>
      <c r="F29" s="10">
        <v>138576.35</v>
      </c>
      <c r="G29" s="10"/>
      <c r="H29" s="10">
        <v>12180</v>
      </c>
      <c r="I29" s="10"/>
      <c r="J29" s="10">
        <v>1920</v>
      </c>
      <c r="K29" s="10">
        <v>68426.89</v>
      </c>
      <c r="L29" s="10"/>
      <c r="M29" s="10"/>
      <c r="N29" s="10"/>
      <c r="O29" s="10">
        <v>28996.64</v>
      </c>
      <c r="P29" s="10">
        <v>30331.98</v>
      </c>
      <c r="Q29" s="29">
        <f t="shared" si="6"/>
        <v>280431.86</v>
      </c>
    </row>
    <row r="30" spans="1:17" ht="12">
      <c r="A30" s="11"/>
      <c r="B30" s="12"/>
      <c r="C30" s="13"/>
      <c r="D30" s="27"/>
      <c r="E30" s="10" t="s">
        <v>27</v>
      </c>
      <c r="F30" s="15">
        <f>151808.8-151808.8</f>
        <v>0</v>
      </c>
      <c r="G30" s="10"/>
      <c r="H30" s="15">
        <f>13440-5560.4</f>
        <v>7879.6</v>
      </c>
      <c r="I30" s="10"/>
      <c r="J30" s="10"/>
      <c r="K30" s="10">
        <v>47087.67</v>
      </c>
      <c r="L30" s="10"/>
      <c r="M30" s="10"/>
      <c r="N30" s="10"/>
      <c r="O30" s="10">
        <v>16909.07</v>
      </c>
      <c r="P30" s="10">
        <v>30331.98</v>
      </c>
      <c r="Q30" s="29">
        <f t="shared" si="6"/>
        <v>102208.31999999999</v>
      </c>
    </row>
    <row r="31" spans="1:17" ht="12">
      <c r="A31" s="11"/>
      <c r="B31" s="12"/>
      <c r="C31" s="13"/>
      <c r="D31" s="27"/>
      <c r="E31" s="14" t="s">
        <v>28</v>
      </c>
      <c r="F31" s="14">
        <f aca="true" t="shared" si="8" ref="F31:P31">SUM(F28:F30)</f>
        <v>279953.56</v>
      </c>
      <c r="G31" s="14">
        <f t="shared" si="8"/>
        <v>0</v>
      </c>
      <c r="H31" s="14">
        <f t="shared" si="8"/>
        <v>31582</v>
      </c>
      <c r="I31" s="14">
        <f t="shared" si="8"/>
        <v>0</v>
      </c>
      <c r="J31" s="14">
        <f t="shared" si="8"/>
        <v>1920</v>
      </c>
      <c r="K31" s="14">
        <f t="shared" si="8"/>
        <v>188741.64</v>
      </c>
      <c r="L31" s="14">
        <f t="shared" si="8"/>
        <v>0</v>
      </c>
      <c r="M31" s="14">
        <f t="shared" si="8"/>
        <v>0</v>
      </c>
      <c r="N31" s="14">
        <f t="shared" si="8"/>
        <v>0</v>
      </c>
      <c r="O31" s="14">
        <f t="shared" si="8"/>
        <v>72090.51999999999</v>
      </c>
      <c r="P31" s="14">
        <f t="shared" si="8"/>
        <v>90995.94</v>
      </c>
      <c r="Q31" s="55">
        <f t="shared" si="6"/>
        <v>665283.6599999999</v>
      </c>
    </row>
    <row r="32" spans="1:17" ht="12">
      <c r="A32" s="11"/>
      <c r="B32" s="12"/>
      <c r="C32" s="13"/>
      <c r="D32" s="27"/>
      <c r="E32" s="10" t="s">
        <v>29</v>
      </c>
      <c r="F32" s="15">
        <f>151808.8+124868.35</f>
        <v>276677.15</v>
      </c>
      <c r="G32" s="10"/>
      <c r="H32" s="15">
        <f>5560.4+9720</f>
        <v>15280.4</v>
      </c>
      <c r="I32" s="10"/>
      <c r="J32" s="10"/>
      <c r="K32" s="10">
        <v>62616.56</v>
      </c>
      <c r="L32" s="10"/>
      <c r="M32" s="10"/>
      <c r="N32" s="10"/>
      <c r="O32" s="10">
        <v>25299.17</v>
      </c>
      <c r="P32" s="10">
        <v>30331.98</v>
      </c>
      <c r="Q32" s="29">
        <f t="shared" si="6"/>
        <v>410205.26</v>
      </c>
    </row>
    <row r="33" spans="1:17" ht="12.75">
      <c r="A33" s="11"/>
      <c r="B33" s="12"/>
      <c r="C33" s="13"/>
      <c r="D33" s="27"/>
      <c r="E33" s="10" t="s">
        <v>30</v>
      </c>
      <c r="F33" s="10">
        <v>155086.15</v>
      </c>
      <c r="G33" s="10"/>
      <c r="H33" s="10">
        <v>13020</v>
      </c>
      <c r="I33" s="10"/>
      <c r="J33" s="10">
        <v>1920</v>
      </c>
      <c r="K33" s="10">
        <v>59651.3</v>
      </c>
      <c r="L33" s="10"/>
      <c r="M33" s="10"/>
      <c r="N33" s="10"/>
      <c r="O33" s="10">
        <v>13953.33</v>
      </c>
      <c r="P33" s="17">
        <v>30331.98</v>
      </c>
      <c r="Q33" s="29">
        <f t="shared" si="6"/>
        <v>273962.76</v>
      </c>
    </row>
    <row r="34" spans="1:17" ht="12.75">
      <c r="A34" s="11"/>
      <c r="B34" s="12"/>
      <c r="C34" s="13"/>
      <c r="D34" s="27"/>
      <c r="E34" s="10" t="s">
        <v>31</v>
      </c>
      <c r="F34" s="15">
        <f>139137.75-139137.75</f>
        <v>0</v>
      </c>
      <c r="G34" s="10"/>
      <c r="H34" s="15">
        <f>10440-10440+9601.2</f>
        <v>9601.2</v>
      </c>
      <c r="I34" s="10"/>
      <c r="J34" s="10"/>
      <c r="K34" s="10">
        <v>83860.03</v>
      </c>
      <c r="L34" s="10"/>
      <c r="M34" s="10"/>
      <c r="N34" s="10"/>
      <c r="O34" s="10">
        <v>23899.47</v>
      </c>
      <c r="P34" s="17">
        <v>30331.98</v>
      </c>
      <c r="Q34" s="29">
        <f t="shared" si="6"/>
        <v>147692.68</v>
      </c>
    </row>
    <row r="35" spans="1:17" ht="12">
      <c r="A35" s="11"/>
      <c r="B35" s="12"/>
      <c r="C35" s="13"/>
      <c r="D35" s="27"/>
      <c r="E35" s="14" t="s">
        <v>32</v>
      </c>
      <c r="F35" s="14">
        <f aca="true" t="shared" si="9" ref="F35:P35">SUM(F32:F34)</f>
        <v>431763.30000000005</v>
      </c>
      <c r="G35" s="14">
        <f t="shared" si="9"/>
        <v>0</v>
      </c>
      <c r="H35" s="14">
        <f t="shared" si="9"/>
        <v>37901.600000000006</v>
      </c>
      <c r="I35" s="14">
        <f t="shared" si="9"/>
        <v>0</v>
      </c>
      <c r="J35" s="14">
        <f t="shared" si="9"/>
        <v>1920</v>
      </c>
      <c r="K35" s="14">
        <f t="shared" si="9"/>
        <v>206127.89</v>
      </c>
      <c r="L35" s="14">
        <f t="shared" si="9"/>
        <v>0</v>
      </c>
      <c r="M35" s="14">
        <f t="shared" si="9"/>
        <v>0</v>
      </c>
      <c r="N35" s="14">
        <f t="shared" si="9"/>
        <v>0</v>
      </c>
      <c r="O35" s="14">
        <f t="shared" si="9"/>
        <v>63151.97</v>
      </c>
      <c r="P35" s="14">
        <f t="shared" si="9"/>
        <v>90995.94</v>
      </c>
      <c r="Q35" s="55">
        <f t="shared" si="6"/>
        <v>831860.7</v>
      </c>
    </row>
    <row r="36" spans="1:17" ht="12">
      <c r="A36" s="11"/>
      <c r="B36" s="12"/>
      <c r="C36" s="13"/>
      <c r="D36" s="27"/>
      <c r="E36" s="10" t="s">
        <v>33</v>
      </c>
      <c r="F36" s="15">
        <f>139137.75+147000.14</f>
        <v>286137.89</v>
      </c>
      <c r="G36" s="10"/>
      <c r="H36" s="15">
        <f>10440-9601.2+12180</f>
        <v>13018.8</v>
      </c>
      <c r="I36" s="10"/>
      <c r="J36" s="10"/>
      <c r="K36" s="10">
        <v>62536.6</v>
      </c>
      <c r="L36" s="10"/>
      <c r="M36" s="10"/>
      <c r="N36" s="10"/>
      <c r="O36" s="10">
        <v>18593.17</v>
      </c>
      <c r="P36" s="10">
        <v>43758.31</v>
      </c>
      <c r="Q36" s="29">
        <f t="shared" si="6"/>
        <v>424044.76999999996</v>
      </c>
    </row>
    <row r="37" spans="1:17" ht="12">
      <c r="A37" s="11"/>
      <c r="B37" s="12"/>
      <c r="C37" s="13"/>
      <c r="D37" s="27"/>
      <c r="E37" s="10" t="s">
        <v>34</v>
      </c>
      <c r="F37" s="10">
        <v>172598.34</v>
      </c>
      <c r="G37" s="10"/>
      <c r="H37" s="10">
        <v>13764</v>
      </c>
      <c r="I37" s="10"/>
      <c r="J37" s="10">
        <v>1440</v>
      </c>
      <c r="K37" s="15">
        <f>87468.79-87468.79</f>
        <v>0</v>
      </c>
      <c r="L37" s="10"/>
      <c r="M37" s="10"/>
      <c r="N37" s="10"/>
      <c r="O37" s="10">
        <v>26130.28</v>
      </c>
      <c r="P37" s="10">
        <v>43758.31</v>
      </c>
      <c r="Q37" s="29">
        <f t="shared" si="6"/>
        <v>257690.93</v>
      </c>
    </row>
    <row r="38" spans="1:17" ht="12">
      <c r="A38" s="11"/>
      <c r="B38" s="12"/>
      <c r="C38" s="13"/>
      <c r="D38" s="27"/>
      <c r="E38" s="10" t="s">
        <v>35</v>
      </c>
      <c r="F38" s="10">
        <v>157066.94</v>
      </c>
      <c r="G38" s="10"/>
      <c r="H38" s="10">
        <v>13760.4</v>
      </c>
      <c r="I38" s="10"/>
      <c r="J38" s="10"/>
      <c r="K38" s="10"/>
      <c r="L38" s="10"/>
      <c r="M38" s="10"/>
      <c r="N38" s="10"/>
      <c r="O38" s="10">
        <v>26828.13</v>
      </c>
      <c r="P38" s="15">
        <f>57184.64-57184.64</f>
        <v>0</v>
      </c>
      <c r="Q38" s="29">
        <f t="shared" si="6"/>
        <v>197655.47</v>
      </c>
    </row>
    <row r="39" spans="1:17" ht="12">
      <c r="A39" s="11"/>
      <c r="B39" s="12"/>
      <c r="C39" s="13"/>
      <c r="D39" s="27"/>
      <c r="E39" s="14" t="s">
        <v>36</v>
      </c>
      <c r="F39" s="14">
        <f aca="true" t="shared" si="10" ref="F39:P39">SUM(F36:F38)</f>
        <v>615803.1699999999</v>
      </c>
      <c r="G39" s="14">
        <f t="shared" si="10"/>
        <v>0</v>
      </c>
      <c r="H39" s="14">
        <f t="shared" si="10"/>
        <v>40543.2</v>
      </c>
      <c r="I39" s="14">
        <f t="shared" si="10"/>
        <v>0</v>
      </c>
      <c r="J39" s="14">
        <f t="shared" si="10"/>
        <v>1440</v>
      </c>
      <c r="K39" s="14">
        <f t="shared" si="10"/>
        <v>62536.6</v>
      </c>
      <c r="L39" s="14">
        <f t="shared" si="10"/>
        <v>0</v>
      </c>
      <c r="M39" s="14">
        <f t="shared" si="10"/>
        <v>0</v>
      </c>
      <c r="N39" s="14">
        <f t="shared" si="10"/>
        <v>0</v>
      </c>
      <c r="O39" s="14">
        <f t="shared" si="10"/>
        <v>71551.58</v>
      </c>
      <c r="P39" s="14">
        <f t="shared" si="10"/>
        <v>87516.62</v>
      </c>
      <c r="Q39" s="55">
        <f t="shared" si="6"/>
        <v>879391.1699999998</v>
      </c>
    </row>
    <row r="40" spans="1:17" ht="12.75" thickBot="1">
      <c r="A40" s="19"/>
      <c r="B40" s="20"/>
      <c r="C40" s="21"/>
      <c r="D40" s="30"/>
      <c r="E40" s="22" t="s">
        <v>37</v>
      </c>
      <c r="F40" s="22">
        <f aca="true" t="shared" si="11" ref="F40:Q40">F27+F31+F35+F39</f>
        <v>1810524.15</v>
      </c>
      <c r="G40" s="22">
        <f t="shared" si="11"/>
        <v>0</v>
      </c>
      <c r="H40" s="22">
        <f t="shared" si="11"/>
        <v>148844.40000000002</v>
      </c>
      <c r="I40" s="22">
        <f t="shared" si="11"/>
        <v>0</v>
      </c>
      <c r="J40" s="22">
        <f t="shared" si="11"/>
        <v>8340</v>
      </c>
      <c r="K40" s="22">
        <f t="shared" si="11"/>
        <v>637330.41</v>
      </c>
      <c r="L40" s="22">
        <f t="shared" si="11"/>
        <v>8387.81</v>
      </c>
      <c r="M40" s="22">
        <f t="shared" si="11"/>
        <v>361.8</v>
      </c>
      <c r="N40" s="22">
        <f t="shared" si="11"/>
        <v>0</v>
      </c>
      <c r="O40" s="22">
        <f t="shared" si="11"/>
        <v>276062.56</v>
      </c>
      <c r="P40" s="22">
        <f t="shared" si="11"/>
        <v>360504.44</v>
      </c>
      <c r="Q40" s="23">
        <f t="shared" si="11"/>
        <v>3250355.57</v>
      </c>
    </row>
    <row r="41" spans="1:17" ht="12">
      <c r="A41" s="62">
        <v>3</v>
      </c>
      <c r="B41" s="32">
        <v>35</v>
      </c>
      <c r="C41" s="31" t="s">
        <v>40</v>
      </c>
      <c r="D41" s="33" t="s">
        <v>41</v>
      </c>
      <c r="E41" s="9" t="s">
        <v>21</v>
      </c>
      <c r="F41" s="9">
        <v>439.25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63">
        <f aca="true" t="shared" si="12" ref="Q41:Q56">SUM(F41:P41)</f>
        <v>439.25</v>
      </c>
    </row>
    <row r="42" spans="1:17" ht="12">
      <c r="A42" s="11"/>
      <c r="B42" s="12"/>
      <c r="C42" s="13"/>
      <c r="D42" s="27"/>
      <c r="E42" s="10" t="s">
        <v>22</v>
      </c>
      <c r="F42" s="10">
        <v>455.37</v>
      </c>
      <c r="G42" s="10"/>
      <c r="H42" s="10"/>
      <c r="I42" s="10"/>
      <c r="J42" s="10"/>
      <c r="K42" s="10"/>
      <c r="L42" s="10"/>
      <c r="M42" s="10"/>
      <c r="N42" s="10"/>
      <c r="O42" s="10"/>
      <c r="P42" s="9"/>
      <c r="Q42" s="63">
        <f t="shared" si="12"/>
        <v>455.37</v>
      </c>
    </row>
    <row r="43" spans="1:17" ht="12">
      <c r="A43" s="11"/>
      <c r="B43" s="12"/>
      <c r="C43" s="13"/>
      <c r="D43" s="27"/>
      <c r="E43" s="10" t="s">
        <v>23</v>
      </c>
      <c r="F43" s="10">
        <v>608.19</v>
      </c>
      <c r="G43" s="10"/>
      <c r="H43" s="10"/>
      <c r="I43" s="10"/>
      <c r="J43" s="10"/>
      <c r="K43" s="10"/>
      <c r="L43" s="10"/>
      <c r="M43" s="10"/>
      <c r="N43" s="10"/>
      <c r="O43" s="10"/>
      <c r="P43" s="9"/>
      <c r="Q43" s="63">
        <f t="shared" si="12"/>
        <v>608.19</v>
      </c>
    </row>
    <row r="44" spans="1:17" ht="12">
      <c r="A44" s="11"/>
      <c r="B44" s="12"/>
      <c r="C44" s="13"/>
      <c r="D44" s="27"/>
      <c r="E44" s="14" t="s">
        <v>24</v>
      </c>
      <c r="F44" s="14">
        <f aca="true" t="shared" si="13" ref="F44:P44">SUM(F41:F43)</f>
        <v>1502.81</v>
      </c>
      <c r="G44" s="14">
        <f t="shared" si="13"/>
        <v>0</v>
      </c>
      <c r="H44" s="14">
        <f t="shared" si="13"/>
        <v>0</v>
      </c>
      <c r="I44" s="14">
        <f t="shared" si="13"/>
        <v>0</v>
      </c>
      <c r="J44" s="14">
        <f t="shared" si="13"/>
        <v>0</v>
      </c>
      <c r="K44" s="14">
        <f t="shared" si="13"/>
        <v>0</v>
      </c>
      <c r="L44" s="14">
        <f t="shared" si="13"/>
        <v>0</v>
      </c>
      <c r="M44" s="14">
        <f t="shared" si="13"/>
        <v>0</v>
      </c>
      <c r="N44" s="14">
        <f t="shared" si="13"/>
        <v>0</v>
      </c>
      <c r="O44" s="14">
        <f t="shared" si="13"/>
        <v>0</v>
      </c>
      <c r="P44" s="14">
        <f t="shared" si="13"/>
        <v>0</v>
      </c>
      <c r="Q44" s="55">
        <f t="shared" si="12"/>
        <v>1502.81</v>
      </c>
    </row>
    <row r="45" spans="1:17" ht="12">
      <c r="A45" s="11"/>
      <c r="B45" s="12"/>
      <c r="C45" s="13"/>
      <c r="D45" s="27"/>
      <c r="E45" s="10" t="s">
        <v>25</v>
      </c>
      <c r="F45" s="10">
        <v>185.76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29">
        <f t="shared" si="12"/>
        <v>185.76</v>
      </c>
    </row>
    <row r="46" spans="1:17" ht="12">
      <c r="A46" s="11"/>
      <c r="B46" s="12"/>
      <c r="C46" s="13"/>
      <c r="D46" s="27"/>
      <c r="E46" s="10" t="s">
        <v>26</v>
      </c>
      <c r="F46" s="10">
        <v>93.36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29">
        <f t="shared" si="12"/>
        <v>93.36</v>
      </c>
    </row>
    <row r="47" spans="1:17" ht="12">
      <c r="A47" s="11"/>
      <c r="B47" s="12"/>
      <c r="C47" s="13"/>
      <c r="D47" s="27"/>
      <c r="E47" s="10" t="s">
        <v>27</v>
      </c>
      <c r="F47" s="10">
        <v>167.27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29">
        <f t="shared" si="12"/>
        <v>167.27</v>
      </c>
    </row>
    <row r="48" spans="1:17" ht="12">
      <c r="A48" s="11"/>
      <c r="B48" s="12"/>
      <c r="C48" s="13"/>
      <c r="D48" s="27"/>
      <c r="E48" s="14" t="s">
        <v>28</v>
      </c>
      <c r="F48" s="14">
        <f aca="true" t="shared" si="14" ref="F48:P48">SUM(F45:F47)</f>
        <v>446.39</v>
      </c>
      <c r="G48" s="14">
        <f t="shared" si="14"/>
        <v>0</v>
      </c>
      <c r="H48" s="14">
        <f t="shared" si="14"/>
        <v>0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55">
        <f t="shared" si="12"/>
        <v>446.39</v>
      </c>
    </row>
    <row r="49" spans="1:17" ht="12">
      <c r="A49" s="11"/>
      <c r="B49" s="12"/>
      <c r="C49" s="13"/>
      <c r="D49" s="27"/>
      <c r="E49" s="10" t="s">
        <v>29</v>
      </c>
      <c r="F49" s="3">
        <v>210.83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29">
        <f t="shared" si="12"/>
        <v>210.83</v>
      </c>
    </row>
    <row r="50" spans="1:17" ht="12">
      <c r="A50" s="11"/>
      <c r="B50" s="12"/>
      <c r="C50" s="13"/>
      <c r="D50" s="27"/>
      <c r="E50" s="10" t="s">
        <v>30</v>
      </c>
      <c r="F50" s="10">
        <v>103.67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9">
        <f t="shared" si="12"/>
        <v>103.67</v>
      </c>
    </row>
    <row r="51" spans="1:17" ht="12.75">
      <c r="A51" s="11"/>
      <c r="B51" s="12"/>
      <c r="C51" s="13"/>
      <c r="D51" s="27"/>
      <c r="E51" s="10" t="s">
        <v>31</v>
      </c>
      <c r="F51" s="17">
        <v>54.17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29">
        <f t="shared" si="12"/>
        <v>54.17</v>
      </c>
    </row>
    <row r="52" spans="1:17" ht="12">
      <c r="A52" s="11"/>
      <c r="B52" s="12"/>
      <c r="C52" s="13"/>
      <c r="D52" s="27"/>
      <c r="E52" s="14" t="s">
        <v>32</v>
      </c>
      <c r="F52" s="14">
        <f aca="true" t="shared" si="15" ref="F52:P52">SUM(F49:F51)</f>
        <v>368.67</v>
      </c>
      <c r="G52" s="14">
        <f t="shared" si="15"/>
        <v>0</v>
      </c>
      <c r="H52" s="14">
        <f t="shared" si="15"/>
        <v>0</v>
      </c>
      <c r="I52" s="14">
        <f t="shared" si="15"/>
        <v>0</v>
      </c>
      <c r="J52" s="14">
        <f t="shared" si="15"/>
        <v>0</v>
      </c>
      <c r="K52" s="14">
        <f t="shared" si="15"/>
        <v>0</v>
      </c>
      <c r="L52" s="14">
        <f t="shared" si="15"/>
        <v>0</v>
      </c>
      <c r="M52" s="14">
        <f t="shared" si="15"/>
        <v>0</v>
      </c>
      <c r="N52" s="14">
        <f t="shared" si="15"/>
        <v>0</v>
      </c>
      <c r="O52" s="14">
        <f t="shared" si="15"/>
        <v>0</v>
      </c>
      <c r="P52" s="14">
        <f t="shared" si="15"/>
        <v>0</v>
      </c>
      <c r="Q52" s="55">
        <f t="shared" si="12"/>
        <v>368.67</v>
      </c>
    </row>
    <row r="53" spans="1:17" ht="12">
      <c r="A53" s="11"/>
      <c r="B53" s="12"/>
      <c r="C53" s="13"/>
      <c r="D53" s="27"/>
      <c r="E53" s="10" t="s">
        <v>33</v>
      </c>
      <c r="F53" s="10">
        <v>442.15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29">
        <f t="shared" si="12"/>
        <v>442.15</v>
      </c>
    </row>
    <row r="54" spans="1:17" ht="12">
      <c r="A54" s="11"/>
      <c r="B54" s="12"/>
      <c r="C54" s="13"/>
      <c r="D54" s="27"/>
      <c r="E54" s="10" t="s">
        <v>34</v>
      </c>
      <c r="F54" s="10">
        <v>19.4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29">
        <f t="shared" si="12"/>
        <v>19.4</v>
      </c>
    </row>
    <row r="55" spans="1:17" ht="12.75">
      <c r="A55" s="11"/>
      <c r="B55" s="12"/>
      <c r="C55" s="13"/>
      <c r="D55" s="27"/>
      <c r="E55" s="10" t="s">
        <v>35</v>
      </c>
      <c r="F55" s="18">
        <v>740.11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29">
        <f t="shared" si="12"/>
        <v>740.11</v>
      </c>
    </row>
    <row r="56" spans="1:17" ht="12">
      <c r="A56" s="11"/>
      <c r="B56" s="12"/>
      <c r="C56" s="13"/>
      <c r="D56" s="27"/>
      <c r="E56" s="14" t="s">
        <v>36</v>
      </c>
      <c r="F56" s="14">
        <f aca="true" t="shared" si="16" ref="F56:P56">SUM(F53:F55)</f>
        <v>1201.6599999999999</v>
      </c>
      <c r="G56" s="14">
        <f t="shared" si="16"/>
        <v>0</v>
      </c>
      <c r="H56" s="14">
        <f t="shared" si="16"/>
        <v>0</v>
      </c>
      <c r="I56" s="14">
        <f t="shared" si="16"/>
        <v>0</v>
      </c>
      <c r="J56" s="14">
        <f t="shared" si="16"/>
        <v>0</v>
      </c>
      <c r="K56" s="14">
        <f t="shared" si="16"/>
        <v>0</v>
      </c>
      <c r="L56" s="14">
        <f t="shared" si="16"/>
        <v>0</v>
      </c>
      <c r="M56" s="14">
        <f t="shared" si="16"/>
        <v>0</v>
      </c>
      <c r="N56" s="14">
        <f t="shared" si="16"/>
        <v>0</v>
      </c>
      <c r="O56" s="14">
        <f t="shared" si="16"/>
        <v>0</v>
      </c>
      <c r="P56" s="14">
        <f t="shared" si="16"/>
        <v>0</v>
      </c>
      <c r="Q56" s="55">
        <f t="shared" si="12"/>
        <v>1201.6599999999999</v>
      </c>
    </row>
    <row r="57" spans="1:17" ht="12.75" thickBot="1">
      <c r="A57" s="11"/>
      <c r="B57" s="12"/>
      <c r="C57" s="13"/>
      <c r="D57" s="27"/>
      <c r="E57" s="22" t="s">
        <v>37</v>
      </c>
      <c r="F57" s="22">
        <f aca="true" t="shared" si="17" ref="F57:Q57">F44+F48+F52+F56</f>
        <v>3519.5299999999997</v>
      </c>
      <c r="G57" s="22">
        <f t="shared" si="17"/>
        <v>0</v>
      </c>
      <c r="H57" s="22">
        <f t="shared" si="17"/>
        <v>0</v>
      </c>
      <c r="I57" s="22">
        <f t="shared" si="17"/>
        <v>0</v>
      </c>
      <c r="J57" s="22">
        <f t="shared" si="17"/>
        <v>0</v>
      </c>
      <c r="K57" s="22">
        <f t="shared" si="17"/>
        <v>0</v>
      </c>
      <c r="L57" s="22">
        <f t="shared" si="17"/>
        <v>0</v>
      </c>
      <c r="M57" s="22">
        <f t="shared" si="17"/>
        <v>0</v>
      </c>
      <c r="N57" s="22">
        <f t="shared" si="17"/>
        <v>0</v>
      </c>
      <c r="O57" s="22">
        <f t="shared" si="17"/>
        <v>0</v>
      </c>
      <c r="P57" s="22">
        <f t="shared" si="17"/>
        <v>0</v>
      </c>
      <c r="Q57" s="23">
        <f t="shared" si="17"/>
        <v>3519.5299999999997</v>
      </c>
    </row>
    <row r="58" spans="1:17" ht="12">
      <c r="A58" s="11">
        <v>4</v>
      </c>
      <c r="B58" s="12">
        <v>6</v>
      </c>
      <c r="C58" s="13" t="s">
        <v>42</v>
      </c>
      <c r="D58" s="27" t="s">
        <v>43</v>
      </c>
      <c r="E58" s="10" t="s">
        <v>21</v>
      </c>
      <c r="F58" s="10">
        <v>19464.43</v>
      </c>
      <c r="G58" s="10"/>
      <c r="H58" s="10">
        <v>1356</v>
      </c>
      <c r="I58" s="10"/>
      <c r="J58" s="10">
        <v>420</v>
      </c>
      <c r="K58" s="10">
        <v>6621.82</v>
      </c>
      <c r="L58" s="10"/>
      <c r="M58" s="10"/>
      <c r="N58" s="10"/>
      <c r="O58" s="10">
        <v>883.89</v>
      </c>
      <c r="P58" s="9"/>
      <c r="Q58" s="63">
        <f aca="true" t="shared" si="18" ref="Q58:Q73">SUM(F58:P58)</f>
        <v>28746.14</v>
      </c>
    </row>
    <row r="59" spans="1:17" ht="12">
      <c r="A59" s="11"/>
      <c r="B59" s="12"/>
      <c r="C59" s="13"/>
      <c r="D59" s="27"/>
      <c r="E59" s="10" t="s">
        <v>22</v>
      </c>
      <c r="F59" s="10">
        <v>35046.41</v>
      </c>
      <c r="G59" s="10"/>
      <c r="H59" s="10">
        <v>2280</v>
      </c>
      <c r="I59" s="10"/>
      <c r="J59" s="10"/>
      <c r="K59" s="10">
        <v>11592.72</v>
      </c>
      <c r="L59" s="10"/>
      <c r="M59" s="10"/>
      <c r="N59" s="10"/>
      <c r="O59" s="10">
        <v>883.89</v>
      </c>
      <c r="P59" s="9"/>
      <c r="Q59" s="63">
        <f t="shared" si="18"/>
        <v>49803.020000000004</v>
      </c>
    </row>
    <row r="60" spans="1:17" ht="12">
      <c r="A60" s="11"/>
      <c r="B60" s="12"/>
      <c r="C60" s="13"/>
      <c r="D60" s="27"/>
      <c r="E60" s="10" t="s">
        <v>23</v>
      </c>
      <c r="F60" s="10">
        <v>32545.12</v>
      </c>
      <c r="G60" s="10"/>
      <c r="H60" s="10">
        <v>3240</v>
      </c>
      <c r="I60" s="10"/>
      <c r="J60" s="10">
        <v>420</v>
      </c>
      <c r="K60" s="10">
        <v>13433.65</v>
      </c>
      <c r="L60" s="10"/>
      <c r="M60" s="10"/>
      <c r="N60" s="10"/>
      <c r="O60" s="10">
        <v>883.89</v>
      </c>
      <c r="P60" s="9"/>
      <c r="Q60" s="63">
        <f t="shared" si="18"/>
        <v>50522.659999999996</v>
      </c>
    </row>
    <row r="61" spans="1:17" ht="12">
      <c r="A61" s="11"/>
      <c r="B61" s="12"/>
      <c r="C61" s="13"/>
      <c r="D61" s="27"/>
      <c r="E61" s="14" t="s">
        <v>24</v>
      </c>
      <c r="F61" s="14">
        <f aca="true" t="shared" si="19" ref="F61:P61">SUM(F58:F60)</f>
        <v>87055.96</v>
      </c>
      <c r="G61" s="14">
        <f t="shared" si="19"/>
        <v>0</v>
      </c>
      <c r="H61" s="14">
        <f t="shared" si="19"/>
        <v>6876</v>
      </c>
      <c r="I61" s="14">
        <f t="shared" si="19"/>
        <v>0</v>
      </c>
      <c r="J61" s="14">
        <f t="shared" si="19"/>
        <v>840</v>
      </c>
      <c r="K61" s="14">
        <f t="shared" si="19"/>
        <v>31648.190000000002</v>
      </c>
      <c r="L61" s="14">
        <f t="shared" si="19"/>
        <v>0</v>
      </c>
      <c r="M61" s="14">
        <f t="shared" si="19"/>
        <v>0</v>
      </c>
      <c r="N61" s="14">
        <f t="shared" si="19"/>
        <v>0</v>
      </c>
      <c r="O61" s="14">
        <f t="shared" si="19"/>
        <v>2651.67</v>
      </c>
      <c r="P61" s="14">
        <f t="shared" si="19"/>
        <v>0</v>
      </c>
      <c r="Q61" s="55">
        <f t="shared" si="18"/>
        <v>129071.82</v>
      </c>
    </row>
    <row r="62" spans="1:17" ht="12">
      <c r="A62" s="11"/>
      <c r="B62" s="12"/>
      <c r="C62" s="13"/>
      <c r="D62" s="27"/>
      <c r="E62" s="10" t="s">
        <v>25</v>
      </c>
      <c r="F62" s="10">
        <v>19049.93</v>
      </c>
      <c r="G62" s="10"/>
      <c r="H62" s="10">
        <v>1080</v>
      </c>
      <c r="I62" s="10"/>
      <c r="J62" s="10">
        <v>420</v>
      </c>
      <c r="K62" s="10">
        <v>6522.14</v>
      </c>
      <c r="L62" s="10"/>
      <c r="M62" s="10"/>
      <c r="N62" s="10"/>
      <c r="O62" s="10">
        <v>1767.78</v>
      </c>
      <c r="P62" s="10"/>
      <c r="Q62" s="29">
        <f t="shared" si="18"/>
        <v>28839.85</v>
      </c>
    </row>
    <row r="63" spans="1:17" ht="12">
      <c r="A63" s="11"/>
      <c r="B63" s="12"/>
      <c r="C63" s="13"/>
      <c r="D63" s="27"/>
      <c r="E63" s="10" t="s">
        <v>26</v>
      </c>
      <c r="F63" s="10">
        <v>25363.45</v>
      </c>
      <c r="G63" s="10"/>
      <c r="H63" s="10">
        <v>1320</v>
      </c>
      <c r="I63" s="10"/>
      <c r="J63" s="10"/>
      <c r="K63" s="10">
        <v>10940.67</v>
      </c>
      <c r="L63" s="10"/>
      <c r="M63" s="10"/>
      <c r="N63" s="10"/>
      <c r="O63" s="10">
        <v>883.89</v>
      </c>
      <c r="P63" s="10"/>
      <c r="Q63" s="29">
        <f t="shared" si="18"/>
        <v>38508.01</v>
      </c>
    </row>
    <row r="64" spans="1:17" ht="12">
      <c r="A64" s="11"/>
      <c r="B64" s="12"/>
      <c r="C64" s="13"/>
      <c r="D64" s="27"/>
      <c r="E64" s="10" t="s">
        <v>27</v>
      </c>
      <c r="F64" s="15">
        <f>20023.81-20023.81</f>
        <v>0</v>
      </c>
      <c r="G64" s="10"/>
      <c r="H64" s="10">
        <v>1800</v>
      </c>
      <c r="I64" s="10"/>
      <c r="J64" s="10"/>
      <c r="K64" s="10">
        <v>9238.02</v>
      </c>
      <c r="L64" s="10"/>
      <c r="M64" s="10"/>
      <c r="N64" s="10"/>
      <c r="O64" s="10"/>
      <c r="P64" s="10"/>
      <c r="Q64" s="29">
        <f t="shared" si="18"/>
        <v>11038.02</v>
      </c>
    </row>
    <row r="65" spans="1:17" ht="12">
      <c r="A65" s="11"/>
      <c r="B65" s="12"/>
      <c r="C65" s="13"/>
      <c r="D65" s="27"/>
      <c r="E65" s="14" t="s">
        <v>28</v>
      </c>
      <c r="F65" s="14">
        <f aca="true" t="shared" si="20" ref="F65:P65">SUM(F62:F64)</f>
        <v>44413.380000000005</v>
      </c>
      <c r="G65" s="14">
        <f t="shared" si="20"/>
        <v>0</v>
      </c>
      <c r="H65" s="14">
        <f t="shared" si="20"/>
        <v>4200</v>
      </c>
      <c r="I65" s="14">
        <f t="shared" si="20"/>
        <v>0</v>
      </c>
      <c r="J65" s="14">
        <f t="shared" si="20"/>
        <v>420</v>
      </c>
      <c r="K65" s="14">
        <f t="shared" si="20"/>
        <v>26700.83</v>
      </c>
      <c r="L65" s="14">
        <f t="shared" si="20"/>
        <v>0</v>
      </c>
      <c r="M65" s="14">
        <f t="shared" si="20"/>
        <v>0</v>
      </c>
      <c r="N65" s="14">
        <f t="shared" si="20"/>
        <v>0</v>
      </c>
      <c r="O65" s="14">
        <f t="shared" si="20"/>
        <v>2651.67</v>
      </c>
      <c r="P65" s="14">
        <f t="shared" si="20"/>
        <v>0</v>
      </c>
      <c r="Q65" s="55">
        <f t="shared" si="18"/>
        <v>78385.88</v>
      </c>
    </row>
    <row r="66" spans="1:17" ht="12">
      <c r="A66" s="11"/>
      <c r="B66" s="12"/>
      <c r="C66" s="13"/>
      <c r="D66" s="27"/>
      <c r="E66" s="10" t="s">
        <v>29</v>
      </c>
      <c r="F66" s="15">
        <f>20023.81+25196.34</f>
        <v>45220.15</v>
      </c>
      <c r="G66" s="10"/>
      <c r="H66" s="16">
        <v>1440</v>
      </c>
      <c r="I66" s="10"/>
      <c r="J66" s="16">
        <v>480</v>
      </c>
      <c r="K66" s="16">
        <v>10989.75</v>
      </c>
      <c r="L66" s="10"/>
      <c r="M66" s="10"/>
      <c r="N66" s="10"/>
      <c r="O66" s="10"/>
      <c r="P66" s="10"/>
      <c r="Q66" s="29">
        <f t="shared" si="18"/>
        <v>58129.9</v>
      </c>
    </row>
    <row r="67" spans="1:17" ht="12.75">
      <c r="A67" s="11"/>
      <c r="B67" s="12"/>
      <c r="C67" s="13"/>
      <c r="D67" s="27"/>
      <c r="E67" s="10" t="s">
        <v>30</v>
      </c>
      <c r="F67" s="10">
        <v>20584.65</v>
      </c>
      <c r="G67" s="10"/>
      <c r="H67" s="17">
        <v>1680</v>
      </c>
      <c r="I67" s="10"/>
      <c r="J67" s="10"/>
      <c r="K67" s="17">
        <v>5793.48</v>
      </c>
      <c r="L67" s="10"/>
      <c r="M67" s="10"/>
      <c r="N67" s="10"/>
      <c r="O67" s="17">
        <v>2651.67</v>
      </c>
      <c r="P67" s="10"/>
      <c r="Q67" s="29">
        <f t="shared" si="18"/>
        <v>30709.800000000003</v>
      </c>
    </row>
    <row r="68" spans="1:17" ht="12.75">
      <c r="A68" s="11"/>
      <c r="B68" s="12"/>
      <c r="C68" s="13"/>
      <c r="D68" s="27"/>
      <c r="E68" s="10" t="s">
        <v>31</v>
      </c>
      <c r="F68" s="10">
        <v>17340.84</v>
      </c>
      <c r="G68" s="10"/>
      <c r="H68" s="17">
        <v>1560</v>
      </c>
      <c r="I68" s="10"/>
      <c r="J68" s="10"/>
      <c r="K68" s="17">
        <v>3825.22</v>
      </c>
      <c r="L68" s="10"/>
      <c r="M68" s="10"/>
      <c r="N68" s="10"/>
      <c r="O68" s="10"/>
      <c r="P68" s="10"/>
      <c r="Q68" s="29">
        <f t="shared" si="18"/>
        <v>22726.06</v>
      </c>
    </row>
    <row r="69" spans="1:17" ht="12">
      <c r="A69" s="11"/>
      <c r="B69" s="12"/>
      <c r="C69" s="13"/>
      <c r="D69" s="27"/>
      <c r="E69" s="14" t="s">
        <v>32</v>
      </c>
      <c r="F69" s="14">
        <f aca="true" t="shared" si="21" ref="F69:P69">SUM(F66:F68)</f>
        <v>83145.64</v>
      </c>
      <c r="G69" s="14">
        <f t="shared" si="21"/>
        <v>0</v>
      </c>
      <c r="H69" s="14">
        <f t="shared" si="21"/>
        <v>4680</v>
      </c>
      <c r="I69" s="14">
        <f t="shared" si="21"/>
        <v>0</v>
      </c>
      <c r="J69" s="14">
        <f t="shared" si="21"/>
        <v>480</v>
      </c>
      <c r="K69" s="14">
        <f t="shared" si="21"/>
        <v>20608.45</v>
      </c>
      <c r="L69" s="14">
        <f t="shared" si="21"/>
        <v>0</v>
      </c>
      <c r="M69" s="14">
        <f t="shared" si="21"/>
        <v>0</v>
      </c>
      <c r="N69" s="14">
        <f t="shared" si="21"/>
        <v>0</v>
      </c>
      <c r="O69" s="14">
        <f t="shared" si="21"/>
        <v>2651.67</v>
      </c>
      <c r="P69" s="14">
        <f t="shared" si="21"/>
        <v>0</v>
      </c>
      <c r="Q69" s="55">
        <f t="shared" si="18"/>
        <v>111565.76</v>
      </c>
    </row>
    <row r="70" spans="1:17" ht="12.75">
      <c r="A70" s="11"/>
      <c r="B70" s="12"/>
      <c r="C70" s="13"/>
      <c r="D70" s="27"/>
      <c r="E70" s="10" t="s">
        <v>33</v>
      </c>
      <c r="F70" s="10">
        <v>24910.85</v>
      </c>
      <c r="G70" s="10"/>
      <c r="H70" s="17">
        <v>1560</v>
      </c>
      <c r="I70" s="10"/>
      <c r="J70" s="17">
        <v>480</v>
      </c>
      <c r="K70" s="17">
        <v>5333.1</v>
      </c>
      <c r="L70" s="10"/>
      <c r="M70" s="10"/>
      <c r="N70" s="10"/>
      <c r="O70" s="10"/>
      <c r="P70" s="10"/>
      <c r="Q70" s="29">
        <f t="shared" si="18"/>
        <v>32283.949999999997</v>
      </c>
    </row>
    <row r="71" spans="1:17" ht="12.75">
      <c r="A71" s="11"/>
      <c r="B71" s="12"/>
      <c r="C71" s="13"/>
      <c r="D71" s="27"/>
      <c r="E71" s="10" t="s">
        <v>34</v>
      </c>
      <c r="F71" s="10">
        <v>25795.07</v>
      </c>
      <c r="G71" s="10"/>
      <c r="H71" s="17">
        <v>1560</v>
      </c>
      <c r="I71" s="10"/>
      <c r="J71" s="10"/>
      <c r="K71" s="17">
        <v>5418.39</v>
      </c>
      <c r="L71" s="10"/>
      <c r="M71" s="10"/>
      <c r="N71" s="10"/>
      <c r="O71" s="17">
        <v>2651.67</v>
      </c>
      <c r="P71" s="10"/>
      <c r="Q71" s="29">
        <f t="shared" si="18"/>
        <v>35425.13</v>
      </c>
    </row>
    <row r="72" spans="1:17" ht="12.75">
      <c r="A72" s="11"/>
      <c r="B72" s="12"/>
      <c r="C72" s="13"/>
      <c r="D72" s="27"/>
      <c r="E72" s="10" t="s">
        <v>35</v>
      </c>
      <c r="F72" s="10">
        <v>23387.06</v>
      </c>
      <c r="G72" s="10"/>
      <c r="H72" s="18">
        <v>2160</v>
      </c>
      <c r="I72" s="10"/>
      <c r="J72" s="10"/>
      <c r="K72" s="10"/>
      <c r="L72" s="10"/>
      <c r="M72" s="10"/>
      <c r="N72" s="10"/>
      <c r="O72" s="10"/>
      <c r="P72" s="10"/>
      <c r="Q72" s="29">
        <f t="shared" si="18"/>
        <v>25547.06</v>
      </c>
    </row>
    <row r="73" spans="1:17" ht="12">
      <c r="A73" s="11"/>
      <c r="B73" s="12"/>
      <c r="C73" s="13"/>
      <c r="D73" s="27"/>
      <c r="E73" s="14" t="s">
        <v>36</v>
      </c>
      <c r="F73" s="14">
        <f aca="true" t="shared" si="22" ref="F73:P73">SUM(F70:F72)</f>
        <v>74092.98</v>
      </c>
      <c r="G73" s="14">
        <f t="shared" si="22"/>
        <v>0</v>
      </c>
      <c r="H73" s="14">
        <f t="shared" si="22"/>
        <v>5280</v>
      </c>
      <c r="I73" s="14">
        <f t="shared" si="22"/>
        <v>0</v>
      </c>
      <c r="J73" s="14">
        <f t="shared" si="22"/>
        <v>480</v>
      </c>
      <c r="K73" s="14">
        <f t="shared" si="22"/>
        <v>10751.490000000002</v>
      </c>
      <c r="L73" s="14">
        <f t="shared" si="22"/>
        <v>0</v>
      </c>
      <c r="M73" s="14">
        <f t="shared" si="22"/>
        <v>0</v>
      </c>
      <c r="N73" s="14">
        <f t="shared" si="22"/>
        <v>0</v>
      </c>
      <c r="O73" s="14">
        <f t="shared" si="22"/>
        <v>2651.67</v>
      </c>
      <c r="P73" s="14">
        <f t="shared" si="22"/>
        <v>0</v>
      </c>
      <c r="Q73" s="55">
        <f t="shared" si="18"/>
        <v>93256.14</v>
      </c>
    </row>
    <row r="74" spans="1:17" ht="12.75" thickBot="1">
      <c r="A74" s="11"/>
      <c r="B74" s="12"/>
      <c r="C74" s="13"/>
      <c r="D74" s="27"/>
      <c r="E74" s="22" t="s">
        <v>37</v>
      </c>
      <c r="F74" s="22">
        <f aca="true" t="shared" si="23" ref="F74:Q74">F61+F65+F69+F73</f>
        <v>288707.96</v>
      </c>
      <c r="G74" s="22">
        <f t="shared" si="23"/>
        <v>0</v>
      </c>
      <c r="H74" s="22">
        <f t="shared" si="23"/>
        <v>21036</v>
      </c>
      <c r="I74" s="22">
        <f t="shared" si="23"/>
        <v>0</v>
      </c>
      <c r="J74" s="22">
        <f t="shared" si="23"/>
        <v>2220</v>
      </c>
      <c r="K74" s="22">
        <f t="shared" si="23"/>
        <v>89708.96</v>
      </c>
      <c r="L74" s="22">
        <f t="shared" si="23"/>
        <v>0</v>
      </c>
      <c r="M74" s="22">
        <f t="shared" si="23"/>
        <v>0</v>
      </c>
      <c r="N74" s="22">
        <f t="shared" si="23"/>
        <v>0</v>
      </c>
      <c r="O74" s="22">
        <f t="shared" si="23"/>
        <v>10606.68</v>
      </c>
      <c r="P74" s="22">
        <f t="shared" si="23"/>
        <v>0</v>
      </c>
      <c r="Q74" s="23">
        <f t="shared" si="23"/>
        <v>412279.60000000003</v>
      </c>
    </row>
    <row r="75" spans="1:17" ht="12">
      <c r="A75" s="11">
        <v>5</v>
      </c>
      <c r="B75" s="12">
        <v>64</v>
      </c>
      <c r="C75" s="13" t="s">
        <v>44</v>
      </c>
      <c r="D75" s="27" t="s">
        <v>45</v>
      </c>
      <c r="E75" s="10" t="s">
        <v>21</v>
      </c>
      <c r="F75" s="10">
        <v>60516.97</v>
      </c>
      <c r="G75" s="10"/>
      <c r="H75" s="10">
        <v>4560</v>
      </c>
      <c r="I75" s="10"/>
      <c r="J75" s="10">
        <v>420</v>
      </c>
      <c r="K75" s="10">
        <v>101081.71</v>
      </c>
      <c r="L75" s="10">
        <v>72038.84</v>
      </c>
      <c r="M75" s="10"/>
      <c r="N75" s="10">
        <v>420.54</v>
      </c>
      <c r="O75" s="10"/>
      <c r="P75" s="10">
        <v>14853.26</v>
      </c>
      <c r="Q75" s="29">
        <f aca="true" t="shared" si="24" ref="Q75:Q90">SUM(F75:P75)</f>
        <v>253891.32</v>
      </c>
    </row>
    <row r="76" spans="1:17" ht="12">
      <c r="A76" s="11"/>
      <c r="B76" s="12"/>
      <c r="C76" s="13"/>
      <c r="D76" s="27"/>
      <c r="E76" s="10" t="s">
        <v>22</v>
      </c>
      <c r="F76" s="10">
        <v>66366.06</v>
      </c>
      <c r="G76" s="10"/>
      <c r="H76" s="10">
        <v>4116</v>
      </c>
      <c r="I76" s="10"/>
      <c r="J76" s="10">
        <v>1260</v>
      </c>
      <c r="K76" s="10">
        <v>90077.03</v>
      </c>
      <c r="L76" s="10"/>
      <c r="M76" s="10"/>
      <c r="N76" s="10"/>
      <c r="O76" s="10">
        <v>1990.38</v>
      </c>
      <c r="P76" s="10">
        <v>14853.26</v>
      </c>
      <c r="Q76" s="29">
        <f t="shared" si="24"/>
        <v>178662.73</v>
      </c>
    </row>
    <row r="77" spans="1:17" ht="12">
      <c r="A77" s="11"/>
      <c r="B77" s="12"/>
      <c r="C77" s="13"/>
      <c r="D77" s="27"/>
      <c r="E77" s="10" t="s">
        <v>23</v>
      </c>
      <c r="F77" s="10">
        <v>77276.16</v>
      </c>
      <c r="G77" s="10"/>
      <c r="H77" s="10">
        <v>4440</v>
      </c>
      <c r="I77" s="10"/>
      <c r="J77" s="10">
        <v>1260</v>
      </c>
      <c r="K77" s="15">
        <f>61539.08-61539.08</f>
        <v>0</v>
      </c>
      <c r="L77" s="10"/>
      <c r="M77" s="10"/>
      <c r="N77" s="10">
        <v>841.07</v>
      </c>
      <c r="O77" s="10">
        <v>1378.3</v>
      </c>
      <c r="P77" s="10">
        <v>14853.26</v>
      </c>
      <c r="Q77" s="29">
        <f t="shared" si="24"/>
        <v>100048.79000000001</v>
      </c>
    </row>
    <row r="78" spans="1:17" ht="12">
      <c r="A78" s="11"/>
      <c r="B78" s="12"/>
      <c r="C78" s="13"/>
      <c r="D78" s="27"/>
      <c r="E78" s="14" t="s">
        <v>24</v>
      </c>
      <c r="F78" s="14">
        <f aca="true" t="shared" si="25" ref="F78:P78">SUM(F75:F77)</f>
        <v>204159.19</v>
      </c>
      <c r="G78" s="14">
        <f t="shared" si="25"/>
        <v>0</v>
      </c>
      <c r="H78" s="14">
        <f t="shared" si="25"/>
        <v>13116</v>
      </c>
      <c r="I78" s="14">
        <f t="shared" si="25"/>
        <v>0</v>
      </c>
      <c r="J78" s="14">
        <f t="shared" si="25"/>
        <v>2940</v>
      </c>
      <c r="K78" s="14">
        <f t="shared" si="25"/>
        <v>191158.74</v>
      </c>
      <c r="L78" s="14">
        <f t="shared" si="25"/>
        <v>72038.84</v>
      </c>
      <c r="M78" s="14">
        <f t="shared" si="25"/>
        <v>0</v>
      </c>
      <c r="N78" s="14">
        <f t="shared" si="25"/>
        <v>1261.6100000000001</v>
      </c>
      <c r="O78" s="14">
        <f t="shared" si="25"/>
        <v>3368.6800000000003</v>
      </c>
      <c r="P78" s="14">
        <f t="shared" si="25"/>
        <v>44559.78</v>
      </c>
      <c r="Q78" s="55">
        <f t="shared" si="24"/>
        <v>532602.84</v>
      </c>
    </row>
    <row r="79" spans="1:17" ht="12">
      <c r="A79" s="11"/>
      <c r="B79" s="12"/>
      <c r="C79" s="13"/>
      <c r="D79" s="27"/>
      <c r="E79" s="10" t="s">
        <v>25</v>
      </c>
      <c r="F79" s="10">
        <v>55813.91</v>
      </c>
      <c r="G79" s="10"/>
      <c r="H79" s="10">
        <v>4320</v>
      </c>
      <c r="I79" s="10"/>
      <c r="J79" s="10">
        <v>900</v>
      </c>
      <c r="K79" s="10">
        <f>61539.08+101080.53</f>
        <v>162619.61</v>
      </c>
      <c r="L79" s="10"/>
      <c r="M79" s="10"/>
      <c r="N79" s="10">
        <v>420.54</v>
      </c>
      <c r="O79" s="10"/>
      <c r="P79" s="10">
        <v>29706.52</v>
      </c>
      <c r="Q79" s="29">
        <f t="shared" si="24"/>
        <v>253780.58</v>
      </c>
    </row>
    <row r="80" spans="1:17" ht="12">
      <c r="A80" s="11"/>
      <c r="B80" s="12"/>
      <c r="C80" s="13"/>
      <c r="D80" s="27"/>
      <c r="E80" s="10" t="s">
        <v>26</v>
      </c>
      <c r="F80" s="10">
        <v>60839.95</v>
      </c>
      <c r="G80" s="10"/>
      <c r="H80" s="10">
        <v>3600</v>
      </c>
      <c r="I80" s="10"/>
      <c r="J80" s="10">
        <v>2400</v>
      </c>
      <c r="K80" s="10">
        <v>85509.33</v>
      </c>
      <c r="L80" s="10"/>
      <c r="M80" s="10"/>
      <c r="N80" s="10">
        <v>420.53</v>
      </c>
      <c r="O80" s="10">
        <v>2555.17</v>
      </c>
      <c r="P80" s="10">
        <v>43132.85</v>
      </c>
      <c r="Q80" s="29">
        <f t="shared" si="24"/>
        <v>198457.83000000002</v>
      </c>
    </row>
    <row r="81" spans="1:17" ht="12">
      <c r="A81" s="11"/>
      <c r="B81" s="12"/>
      <c r="C81" s="13"/>
      <c r="D81" s="27"/>
      <c r="E81" s="10" t="s">
        <v>27</v>
      </c>
      <c r="F81" s="15">
        <f>77739.28-77739.28</f>
        <v>0</v>
      </c>
      <c r="G81" s="10"/>
      <c r="H81" s="15">
        <f>4200-4200</f>
        <v>0</v>
      </c>
      <c r="I81" s="10"/>
      <c r="J81" s="10">
        <v>840</v>
      </c>
      <c r="K81" s="10">
        <v>60984.58</v>
      </c>
      <c r="L81" s="10"/>
      <c r="M81" s="10"/>
      <c r="N81" s="10"/>
      <c r="O81" s="10"/>
      <c r="P81" s="10">
        <v>56995.89</v>
      </c>
      <c r="Q81" s="29">
        <f t="shared" si="24"/>
        <v>118820.47</v>
      </c>
    </row>
    <row r="82" spans="1:17" ht="12">
      <c r="A82" s="11"/>
      <c r="B82" s="12"/>
      <c r="C82" s="13"/>
      <c r="D82" s="27"/>
      <c r="E82" s="14" t="s">
        <v>28</v>
      </c>
      <c r="F82" s="14">
        <f aca="true" t="shared" si="26" ref="F82:P82">SUM(F79:F81)</f>
        <v>116653.86</v>
      </c>
      <c r="G82" s="14">
        <f t="shared" si="26"/>
        <v>0</v>
      </c>
      <c r="H82" s="14">
        <f t="shared" si="26"/>
        <v>7920</v>
      </c>
      <c r="I82" s="14">
        <f t="shared" si="26"/>
        <v>0</v>
      </c>
      <c r="J82" s="14">
        <f t="shared" si="26"/>
        <v>4140</v>
      </c>
      <c r="K82" s="14">
        <f t="shared" si="26"/>
        <v>309113.52</v>
      </c>
      <c r="L82" s="14">
        <f t="shared" si="26"/>
        <v>0</v>
      </c>
      <c r="M82" s="14">
        <f t="shared" si="26"/>
        <v>0</v>
      </c>
      <c r="N82" s="14">
        <f t="shared" si="26"/>
        <v>841.0699999999999</v>
      </c>
      <c r="O82" s="14">
        <f t="shared" si="26"/>
        <v>2555.17</v>
      </c>
      <c r="P82" s="14">
        <f t="shared" si="26"/>
        <v>129835.26</v>
      </c>
      <c r="Q82" s="55">
        <f t="shared" si="24"/>
        <v>571058.88</v>
      </c>
    </row>
    <row r="83" spans="1:17" ht="12">
      <c r="A83" s="11"/>
      <c r="B83" s="12"/>
      <c r="C83" s="13"/>
      <c r="D83" s="27"/>
      <c r="E83" s="10" t="s">
        <v>29</v>
      </c>
      <c r="F83" s="15">
        <f>77739.28+51350.21</f>
        <v>129089.48999999999</v>
      </c>
      <c r="G83" s="10"/>
      <c r="H83" s="15">
        <f>4200+3120</f>
        <v>7320</v>
      </c>
      <c r="I83" s="10"/>
      <c r="J83" s="16">
        <v>480</v>
      </c>
      <c r="K83" s="10">
        <v>84267.75</v>
      </c>
      <c r="L83" s="10"/>
      <c r="M83" s="10"/>
      <c r="N83" s="10">
        <v>420.54</v>
      </c>
      <c r="O83" s="16"/>
      <c r="P83" s="16">
        <v>14853.26</v>
      </c>
      <c r="Q83" s="29">
        <f t="shared" si="24"/>
        <v>236431.04</v>
      </c>
    </row>
    <row r="84" spans="1:17" ht="12.75">
      <c r="A84" s="11"/>
      <c r="B84" s="12"/>
      <c r="C84" s="13"/>
      <c r="D84" s="27"/>
      <c r="E84" s="10" t="s">
        <v>30</v>
      </c>
      <c r="F84" s="10">
        <v>63185.66</v>
      </c>
      <c r="G84" s="10"/>
      <c r="H84" s="10">
        <v>3960</v>
      </c>
      <c r="I84" s="10"/>
      <c r="J84" s="10">
        <v>1440</v>
      </c>
      <c r="K84" s="10">
        <v>42420.21</v>
      </c>
      <c r="L84" s="10"/>
      <c r="M84" s="10"/>
      <c r="N84" s="10"/>
      <c r="O84" s="10">
        <v>9708.46</v>
      </c>
      <c r="P84" s="17">
        <v>14853.26</v>
      </c>
      <c r="Q84" s="29">
        <f t="shared" si="24"/>
        <v>135567.59</v>
      </c>
    </row>
    <row r="85" spans="1:17" ht="12">
      <c r="A85" s="11"/>
      <c r="B85" s="12"/>
      <c r="C85" s="13"/>
      <c r="D85" s="27"/>
      <c r="E85" s="10" t="s">
        <v>31</v>
      </c>
      <c r="F85" s="15">
        <f>72877.95-72877.95</f>
        <v>0</v>
      </c>
      <c r="G85" s="10"/>
      <c r="H85" s="10">
        <v>5160</v>
      </c>
      <c r="I85" s="10"/>
      <c r="J85" s="10"/>
      <c r="K85" s="10">
        <v>71264.09000000001</v>
      </c>
      <c r="L85" s="10"/>
      <c r="M85" s="10"/>
      <c r="N85" s="10"/>
      <c r="O85" s="10"/>
      <c r="P85" s="10">
        <v>47669.9</v>
      </c>
      <c r="Q85" s="29">
        <f t="shared" si="24"/>
        <v>124093.99000000002</v>
      </c>
    </row>
    <row r="86" spans="1:17" ht="12">
      <c r="A86" s="11"/>
      <c r="B86" s="12"/>
      <c r="C86" s="13"/>
      <c r="D86" s="27"/>
      <c r="E86" s="14" t="s">
        <v>32</v>
      </c>
      <c r="F86" s="14">
        <f aca="true" t="shared" si="27" ref="F86:P86">SUM(F83:F85)</f>
        <v>192275.15</v>
      </c>
      <c r="G86" s="14">
        <f t="shared" si="27"/>
        <v>0</v>
      </c>
      <c r="H86" s="14">
        <f t="shared" si="27"/>
        <v>16440</v>
      </c>
      <c r="I86" s="14">
        <f t="shared" si="27"/>
        <v>0</v>
      </c>
      <c r="J86" s="14">
        <f t="shared" si="27"/>
        <v>1920</v>
      </c>
      <c r="K86" s="14">
        <f t="shared" si="27"/>
        <v>197952.05</v>
      </c>
      <c r="L86" s="14">
        <f t="shared" si="27"/>
        <v>0</v>
      </c>
      <c r="M86" s="14">
        <f t="shared" si="27"/>
        <v>0</v>
      </c>
      <c r="N86" s="14">
        <f t="shared" si="27"/>
        <v>420.54</v>
      </c>
      <c r="O86" s="14">
        <f t="shared" si="27"/>
        <v>9708.46</v>
      </c>
      <c r="P86" s="14">
        <f t="shared" si="27"/>
        <v>77376.42</v>
      </c>
      <c r="Q86" s="55">
        <f t="shared" si="24"/>
        <v>496092.61999999994</v>
      </c>
    </row>
    <row r="87" spans="1:17" ht="12">
      <c r="A87" s="11"/>
      <c r="B87" s="12"/>
      <c r="C87" s="13"/>
      <c r="D87" s="27"/>
      <c r="E87" s="10" t="s">
        <v>33</v>
      </c>
      <c r="F87" s="15">
        <f>72877.95+51549.73</f>
        <v>124427.68</v>
      </c>
      <c r="G87" s="10"/>
      <c r="H87" s="10">
        <v>3120</v>
      </c>
      <c r="I87" s="10"/>
      <c r="J87" s="10">
        <v>900</v>
      </c>
      <c r="K87" s="10">
        <v>49208.21</v>
      </c>
      <c r="L87" s="10"/>
      <c r="M87" s="10"/>
      <c r="N87" s="10"/>
      <c r="O87" s="10">
        <v>5376.2</v>
      </c>
      <c r="P87" s="10">
        <v>59541.17</v>
      </c>
      <c r="Q87" s="29">
        <f t="shared" si="24"/>
        <v>242573.26</v>
      </c>
    </row>
    <row r="88" spans="1:17" ht="12.75">
      <c r="A88" s="11"/>
      <c r="B88" s="12"/>
      <c r="C88" s="13"/>
      <c r="D88" s="27"/>
      <c r="E88" s="10" t="s">
        <v>34</v>
      </c>
      <c r="F88" s="10">
        <v>57265.48</v>
      </c>
      <c r="G88" s="10"/>
      <c r="H88" s="10">
        <v>2880</v>
      </c>
      <c r="I88" s="10"/>
      <c r="J88" s="10">
        <v>2400</v>
      </c>
      <c r="K88" s="10">
        <v>34006.08</v>
      </c>
      <c r="L88" s="10"/>
      <c r="M88" s="10"/>
      <c r="N88" s="10"/>
      <c r="O88" s="17">
        <v>1499.97</v>
      </c>
      <c r="P88" s="10">
        <v>44687.91</v>
      </c>
      <c r="Q88" s="29">
        <f t="shared" si="24"/>
        <v>142739.44</v>
      </c>
    </row>
    <row r="89" spans="1:17" ht="12.75">
      <c r="A89" s="11"/>
      <c r="B89" s="12"/>
      <c r="C89" s="13"/>
      <c r="D89" s="27"/>
      <c r="E89" s="10" t="s">
        <v>35</v>
      </c>
      <c r="F89" s="10">
        <v>75437.69</v>
      </c>
      <c r="G89" s="10"/>
      <c r="H89" s="10">
        <v>3960</v>
      </c>
      <c r="I89" s="10"/>
      <c r="J89" s="34">
        <f>840-660</f>
        <v>180</v>
      </c>
      <c r="K89" s="10"/>
      <c r="L89" s="10"/>
      <c r="M89" s="10"/>
      <c r="N89" s="10"/>
      <c r="O89" s="10">
        <v>6872.95</v>
      </c>
      <c r="P89" s="10">
        <f>44687.91-14255.74</f>
        <v>30432.170000000006</v>
      </c>
      <c r="Q89" s="29">
        <f t="shared" si="24"/>
        <v>116882.81</v>
      </c>
    </row>
    <row r="90" spans="1:17" ht="12">
      <c r="A90" s="11"/>
      <c r="B90" s="12"/>
      <c r="C90" s="13"/>
      <c r="D90" s="27"/>
      <c r="E90" s="14" t="s">
        <v>36</v>
      </c>
      <c r="F90" s="14">
        <f aca="true" t="shared" si="28" ref="F90:P90">SUM(F87:F89)</f>
        <v>257130.85</v>
      </c>
      <c r="G90" s="14">
        <f t="shared" si="28"/>
        <v>0</v>
      </c>
      <c r="H90" s="14">
        <f t="shared" si="28"/>
        <v>9960</v>
      </c>
      <c r="I90" s="14">
        <f t="shared" si="28"/>
        <v>0</v>
      </c>
      <c r="J90" s="14">
        <f t="shared" si="28"/>
        <v>3480</v>
      </c>
      <c r="K90" s="14">
        <f t="shared" si="28"/>
        <v>83214.29000000001</v>
      </c>
      <c r="L90" s="14">
        <f t="shared" si="28"/>
        <v>0</v>
      </c>
      <c r="M90" s="14">
        <f t="shared" si="28"/>
        <v>0</v>
      </c>
      <c r="N90" s="14">
        <f t="shared" si="28"/>
        <v>0</v>
      </c>
      <c r="O90" s="14">
        <f t="shared" si="28"/>
        <v>13749.119999999999</v>
      </c>
      <c r="P90" s="14">
        <f t="shared" si="28"/>
        <v>134661.25</v>
      </c>
      <c r="Q90" s="55">
        <f t="shared" si="24"/>
        <v>502195.51</v>
      </c>
    </row>
    <row r="91" spans="1:17" ht="12.75" thickBot="1">
      <c r="A91" s="11"/>
      <c r="B91" s="12"/>
      <c r="C91" s="13"/>
      <c r="D91" s="27"/>
      <c r="E91" s="22" t="s">
        <v>37</v>
      </c>
      <c r="F91" s="22">
        <f aca="true" t="shared" si="29" ref="F91:Q91">F78+F82+F86+F90</f>
        <v>770219.0499999999</v>
      </c>
      <c r="G91" s="22">
        <f t="shared" si="29"/>
        <v>0</v>
      </c>
      <c r="H91" s="22">
        <f t="shared" si="29"/>
        <v>47436</v>
      </c>
      <c r="I91" s="22">
        <f t="shared" si="29"/>
        <v>0</v>
      </c>
      <c r="J91" s="22">
        <f t="shared" si="29"/>
        <v>12480</v>
      </c>
      <c r="K91" s="22">
        <f t="shared" si="29"/>
        <v>781438.6000000001</v>
      </c>
      <c r="L91" s="22">
        <f t="shared" si="29"/>
        <v>72038.84</v>
      </c>
      <c r="M91" s="22">
        <f t="shared" si="29"/>
        <v>0</v>
      </c>
      <c r="N91" s="22">
        <f t="shared" si="29"/>
        <v>2523.2200000000003</v>
      </c>
      <c r="O91" s="22">
        <f t="shared" si="29"/>
        <v>29381.43</v>
      </c>
      <c r="P91" s="22">
        <f t="shared" si="29"/>
        <v>386432.70999999996</v>
      </c>
      <c r="Q91" s="23">
        <f t="shared" si="29"/>
        <v>2101949.8499999996</v>
      </c>
    </row>
    <row r="92" spans="1:17" ht="12">
      <c r="A92" s="11">
        <v>6</v>
      </c>
      <c r="B92" s="12">
        <v>87</v>
      </c>
      <c r="C92" s="13" t="s">
        <v>46</v>
      </c>
      <c r="D92" s="27" t="s">
        <v>47</v>
      </c>
      <c r="E92" s="10" t="s">
        <v>21</v>
      </c>
      <c r="F92" s="10">
        <v>22230.76</v>
      </c>
      <c r="G92" s="10"/>
      <c r="H92" s="10">
        <v>1440</v>
      </c>
      <c r="I92" s="10"/>
      <c r="J92" s="10"/>
      <c r="K92" s="10">
        <v>185.76</v>
      </c>
      <c r="L92" s="10"/>
      <c r="M92" s="10"/>
      <c r="N92" s="10"/>
      <c r="O92" s="10">
        <v>216.31</v>
      </c>
      <c r="P92" s="10"/>
      <c r="Q92" s="29">
        <f aca="true" t="shared" si="30" ref="Q92:Q107">SUM(F92:P92)</f>
        <v>24072.829999999998</v>
      </c>
    </row>
    <row r="93" spans="1:17" ht="12">
      <c r="A93" s="11"/>
      <c r="B93" s="12"/>
      <c r="C93" s="13"/>
      <c r="D93" s="27"/>
      <c r="E93" s="10" t="s">
        <v>22</v>
      </c>
      <c r="F93" s="10">
        <v>24878.6</v>
      </c>
      <c r="G93" s="10"/>
      <c r="H93" s="10">
        <v>1200</v>
      </c>
      <c r="I93" s="10"/>
      <c r="J93" s="10"/>
      <c r="K93" s="10">
        <v>341.04</v>
      </c>
      <c r="L93" s="10"/>
      <c r="M93" s="10"/>
      <c r="N93" s="10"/>
      <c r="O93" s="10">
        <v>6.51</v>
      </c>
      <c r="P93" s="10"/>
      <c r="Q93" s="29">
        <f t="shared" si="30"/>
        <v>26426.149999999998</v>
      </c>
    </row>
    <row r="94" spans="1:17" ht="12">
      <c r="A94" s="11"/>
      <c r="B94" s="12"/>
      <c r="C94" s="13"/>
      <c r="D94" s="27"/>
      <c r="E94" s="10" t="s">
        <v>23</v>
      </c>
      <c r="F94" s="10">
        <v>25988.54</v>
      </c>
      <c r="G94" s="10"/>
      <c r="H94" s="10">
        <v>1440</v>
      </c>
      <c r="I94" s="10"/>
      <c r="J94" s="10"/>
      <c r="K94" s="10">
        <v>840.46</v>
      </c>
      <c r="L94" s="10"/>
      <c r="M94" s="10"/>
      <c r="N94" s="10"/>
      <c r="O94" s="10"/>
      <c r="P94" s="10"/>
      <c r="Q94" s="29">
        <f t="shared" si="30"/>
        <v>28269</v>
      </c>
    </row>
    <row r="95" spans="1:17" ht="12">
      <c r="A95" s="11"/>
      <c r="B95" s="12"/>
      <c r="C95" s="13"/>
      <c r="D95" s="27"/>
      <c r="E95" s="14" t="s">
        <v>24</v>
      </c>
      <c r="F95" s="14">
        <f aca="true" t="shared" si="31" ref="F95:P95">SUM(F92:F94)</f>
        <v>73097.9</v>
      </c>
      <c r="G95" s="14">
        <f t="shared" si="31"/>
        <v>0</v>
      </c>
      <c r="H95" s="14">
        <f t="shared" si="31"/>
        <v>4080</v>
      </c>
      <c r="I95" s="14">
        <f t="shared" si="31"/>
        <v>0</v>
      </c>
      <c r="J95" s="14">
        <f t="shared" si="31"/>
        <v>0</v>
      </c>
      <c r="K95" s="14">
        <f t="shared" si="31"/>
        <v>1367.26</v>
      </c>
      <c r="L95" s="14">
        <f t="shared" si="31"/>
        <v>0</v>
      </c>
      <c r="M95" s="14">
        <f t="shared" si="31"/>
        <v>0</v>
      </c>
      <c r="N95" s="14">
        <f t="shared" si="31"/>
        <v>0</v>
      </c>
      <c r="O95" s="14">
        <f t="shared" si="31"/>
        <v>222.82</v>
      </c>
      <c r="P95" s="14">
        <f t="shared" si="31"/>
        <v>0</v>
      </c>
      <c r="Q95" s="55">
        <f t="shared" si="30"/>
        <v>78767.98</v>
      </c>
    </row>
    <row r="96" spans="1:17" ht="12">
      <c r="A96" s="11"/>
      <c r="B96" s="12"/>
      <c r="C96" s="13"/>
      <c r="D96" s="27"/>
      <c r="E96" s="10" t="s">
        <v>25</v>
      </c>
      <c r="F96" s="10">
        <v>16573.36</v>
      </c>
      <c r="G96" s="10"/>
      <c r="H96" s="10">
        <v>600</v>
      </c>
      <c r="I96" s="10"/>
      <c r="J96" s="10"/>
      <c r="K96" s="10">
        <v>455.63</v>
      </c>
      <c r="L96" s="10"/>
      <c r="M96" s="10"/>
      <c r="N96" s="10"/>
      <c r="O96" s="10">
        <v>4891.04</v>
      </c>
      <c r="P96" s="10"/>
      <c r="Q96" s="29">
        <f t="shared" si="30"/>
        <v>22520.030000000002</v>
      </c>
    </row>
    <row r="97" spans="1:17" ht="12">
      <c r="A97" s="11"/>
      <c r="B97" s="12"/>
      <c r="C97" s="13"/>
      <c r="D97" s="27"/>
      <c r="E97" s="10" t="s">
        <v>26</v>
      </c>
      <c r="F97" s="10">
        <v>22000.11</v>
      </c>
      <c r="G97" s="10"/>
      <c r="H97" s="10">
        <v>840</v>
      </c>
      <c r="I97" s="10"/>
      <c r="J97" s="10"/>
      <c r="K97" s="10">
        <v>1420.18</v>
      </c>
      <c r="L97" s="10"/>
      <c r="M97" s="10"/>
      <c r="N97" s="10"/>
      <c r="O97" s="10"/>
      <c r="P97" s="10"/>
      <c r="Q97" s="29">
        <f t="shared" si="30"/>
        <v>24260.29</v>
      </c>
    </row>
    <row r="98" spans="1:17" ht="12">
      <c r="A98" s="11"/>
      <c r="B98" s="12"/>
      <c r="C98" s="13"/>
      <c r="D98" s="27"/>
      <c r="E98" s="10" t="s">
        <v>27</v>
      </c>
      <c r="F98" s="10">
        <v>19428.77</v>
      </c>
      <c r="G98" s="10"/>
      <c r="H98" s="10">
        <v>960</v>
      </c>
      <c r="I98" s="10"/>
      <c r="J98" s="10"/>
      <c r="K98" s="10">
        <v>314.5</v>
      </c>
      <c r="L98" s="10"/>
      <c r="M98" s="10"/>
      <c r="N98" s="10"/>
      <c r="O98" s="10">
        <v>445.22</v>
      </c>
      <c r="P98" s="10"/>
      <c r="Q98" s="29">
        <f t="shared" si="30"/>
        <v>21148.49</v>
      </c>
    </row>
    <row r="99" spans="1:17" ht="12">
      <c r="A99" s="11"/>
      <c r="B99" s="12"/>
      <c r="C99" s="13"/>
      <c r="D99" s="27"/>
      <c r="E99" s="14" t="s">
        <v>28</v>
      </c>
      <c r="F99" s="14">
        <f aca="true" t="shared" si="32" ref="F99:P99">SUM(F96:F98)</f>
        <v>58002.240000000005</v>
      </c>
      <c r="G99" s="14">
        <f t="shared" si="32"/>
        <v>0</v>
      </c>
      <c r="H99" s="14">
        <f t="shared" si="32"/>
        <v>2400</v>
      </c>
      <c r="I99" s="14">
        <f t="shared" si="32"/>
        <v>0</v>
      </c>
      <c r="J99" s="14">
        <f t="shared" si="32"/>
        <v>0</v>
      </c>
      <c r="K99" s="14">
        <f t="shared" si="32"/>
        <v>2190.31</v>
      </c>
      <c r="L99" s="14">
        <f t="shared" si="32"/>
        <v>0</v>
      </c>
      <c r="M99" s="14">
        <f t="shared" si="32"/>
        <v>0</v>
      </c>
      <c r="N99" s="14">
        <f t="shared" si="32"/>
        <v>0</v>
      </c>
      <c r="O99" s="14">
        <f t="shared" si="32"/>
        <v>5336.26</v>
      </c>
      <c r="P99" s="14">
        <f t="shared" si="32"/>
        <v>0</v>
      </c>
      <c r="Q99" s="55">
        <f t="shared" si="30"/>
        <v>67928.81</v>
      </c>
    </row>
    <row r="100" spans="1:17" ht="12">
      <c r="A100" s="11"/>
      <c r="B100" s="12"/>
      <c r="C100" s="13"/>
      <c r="D100" s="27"/>
      <c r="E100" s="10" t="s">
        <v>29</v>
      </c>
      <c r="F100" s="10">
        <v>13088.9</v>
      </c>
      <c r="G100" s="10"/>
      <c r="H100" s="16">
        <v>480</v>
      </c>
      <c r="I100" s="10"/>
      <c r="J100" s="10"/>
      <c r="K100" s="16">
        <v>553.55</v>
      </c>
      <c r="L100" s="10"/>
      <c r="M100" s="10"/>
      <c r="N100" s="10"/>
      <c r="O100" s="16">
        <v>2028.93</v>
      </c>
      <c r="P100" s="10"/>
      <c r="Q100" s="29">
        <f t="shared" si="30"/>
        <v>16151.38</v>
      </c>
    </row>
    <row r="101" spans="1:17" ht="12.75">
      <c r="A101" s="11"/>
      <c r="B101" s="12"/>
      <c r="C101" s="13"/>
      <c r="D101" s="27"/>
      <c r="E101" s="10" t="s">
        <v>30</v>
      </c>
      <c r="F101" s="10">
        <v>22595.99</v>
      </c>
      <c r="G101" s="10"/>
      <c r="H101" s="17">
        <v>840</v>
      </c>
      <c r="I101" s="10"/>
      <c r="J101" s="10"/>
      <c r="K101" s="17">
        <v>416.75</v>
      </c>
      <c r="L101" s="10"/>
      <c r="M101" s="10"/>
      <c r="N101" s="10"/>
      <c r="O101" s="10"/>
      <c r="P101" s="10"/>
      <c r="Q101" s="29">
        <f t="shared" si="30"/>
        <v>23852.74</v>
      </c>
    </row>
    <row r="102" spans="1:17" ht="12.75">
      <c r="A102" s="11"/>
      <c r="B102" s="12"/>
      <c r="C102" s="13"/>
      <c r="D102" s="27"/>
      <c r="E102" s="10" t="s">
        <v>31</v>
      </c>
      <c r="F102" s="10">
        <v>21285.71</v>
      </c>
      <c r="G102" s="10"/>
      <c r="H102" s="17">
        <v>600</v>
      </c>
      <c r="I102" s="10"/>
      <c r="J102" s="10"/>
      <c r="K102" s="17">
        <v>144.58</v>
      </c>
      <c r="L102" s="10"/>
      <c r="M102" s="10"/>
      <c r="N102" s="10"/>
      <c r="O102" s="17">
        <v>2474.17</v>
      </c>
      <c r="P102" s="10"/>
      <c r="Q102" s="29">
        <f t="shared" si="30"/>
        <v>24504.46</v>
      </c>
    </row>
    <row r="103" spans="1:17" ht="12">
      <c r="A103" s="11"/>
      <c r="B103" s="12"/>
      <c r="C103" s="13"/>
      <c r="D103" s="27"/>
      <c r="E103" s="14" t="s">
        <v>32</v>
      </c>
      <c r="F103" s="14">
        <f aca="true" t="shared" si="33" ref="F103:P103">SUM(F100:F102)</f>
        <v>56970.6</v>
      </c>
      <c r="G103" s="14">
        <f t="shared" si="33"/>
        <v>0</v>
      </c>
      <c r="H103" s="14">
        <f t="shared" si="33"/>
        <v>1920</v>
      </c>
      <c r="I103" s="14">
        <f t="shared" si="33"/>
        <v>0</v>
      </c>
      <c r="J103" s="14">
        <f t="shared" si="33"/>
        <v>0</v>
      </c>
      <c r="K103" s="14">
        <f t="shared" si="33"/>
        <v>1114.8799999999999</v>
      </c>
      <c r="L103" s="14">
        <f t="shared" si="33"/>
        <v>0</v>
      </c>
      <c r="M103" s="14">
        <f t="shared" si="33"/>
        <v>0</v>
      </c>
      <c r="N103" s="14">
        <f t="shared" si="33"/>
        <v>0</v>
      </c>
      <c r="O103" s="14">
        <f t="shared" si="33"/>
        <v>4503.1</v>
      </c>
      <c r="P103" s="14">
        <f t="shared" si="33"/>
        <v>0</v>
      </c>
      <c r="Q103" s="55">
        <f t="shared" si="30"/>
        <v>64508.579999999994</v>
      </c>
    </row>
    <row r="104" spans="1:17" ht="12.75">
      <c r="A104" s="11"/>
      <c r="B104" s="12"/>
      <c r="C104" s="13"/>
      <c r="D104" s="27"/>
      <c r="E104" s="10" t="s">
        <v>33</v>
      </c>
      <c r="F104" s="10">
        <v>19875.49</v>
      </c>
      <c r="G104" s="10"/>
      <c r="H104" s="17">
        <v>600</v>
      </c>
      <c r="I104" s="10"/>
      <c r="J104" s="10"/>
      <c r="K104" s="17">
        <v>1185.64</v>
      </c>
      <c r="L104" s="10"/>
      <c r="M104" s="10"/>
      <c r="N104" s="10"/>
      <c r="O104" s="10"/>
      <c r="P104" s="10"/>
      <c r="Q104" s="29">
        <f t="shared" si="30"/>
        <v>21661.13</v>
      </c>
    </row>
    <row r="105" spans="1:17" ht="12.75">
      <c r="A105" s="11"/>
      <c r="B105" s="12"/>
      <c r="C105" s="13"/>
      <c r="D105" s="27"/>
      <c r="E105" s="10" t="s">
        <v>34</v>
      </c>
      <c r="F105" s="10">
        <v>21219.61</v>
      </c>
      <c r="G105" s="10"/>
      <c r="H105" s="17">
        <v>960</v>
      </c>
      <c r="I105" s="10"/>
      <c r="J105" s="10"/>
      <c r="K105" s="17">
        <v>970.29</v>
      </c>
      <c r="L105" s="10"/>
      <c r="M105" s="10"/>
      <c r="N105" s="10"/>
      <c r="O105" s="10"/>
      <c r="P105" s="10"/>
      <c r="Q105" s="29">
        <f t="shared" si="30"/>
        <v>23149.9</v>
      </c>
    </row>
    <row r="106" spans="1:17" ht="12.75">
      <c r="A106" s="11"/>
      <c r="B106" s="12"/>
      <c r="C106" s="13"/>
      <c r="D106" s="27"/>
      <c r="E106" s="10" t="s">
        <v>35</v>
      </c>
      <c r="F106" s="10">
        <v>27925.67</v>
      </c>
      <c r="G106" s="10"/>
      <c r="H106" s="18">
        <v>1440</v>
      </c>
      <c r="I106" s="10"/>
      <c r="J106" s="10"/>
      <c r="K106" s="10"/>
      <c r="L106" s="10"/>
      <c r="M106" s="10"/>
      <c r="N106" s="10"/>
      <c r="O106" s="10"/>
      <c r="P106" s="10"/>
      <c r="Q106" s="29">
        <f t="shared" si="30"/>
        <v>29365.67</v>
      </c>
    </row>
    <row r="107" spans="1:17" ht="12">
      <c r="A107" s="11"/>
      <c r="B107" s="12"/>
      <c r="C107" s="13"/>
      <c r="D107" s="27"/>
      <c r="E107" s="14" t="s">
        <v>36</v>
      </c>
      <c r="F107" s="14">
        <f aca="true" t="shared" si="34" ref="F107:P107">SUM(F104:F106)</f>
        <v>69020.77</v>
      </c>
      <c r="G107" s="14">
        <f t="shared" si="34"/>
        <v>0</v>
      </c>
      <c r="H107" s="14">
        <f t="shared" si="34"/>
        <v>3000</v>
      </c>
      <c r="I107" s="14">
        <f t="shared" si="34"/>
        <v>0</v>
      </c>
      <c r="J107" s="14">
        <f t="shared" si="34"/>
        <v>0</v>
      </c>
      <c r="K107" s="14">
        <f t="shared" si="34"/>
        <v>2155.9300000000003</v>
      </c>
      <c r="L107" s="14">
        <f t="shared" si="34"/>
        <v>0</v>
      </c>
      <c r="M107" s="14">
        <f t="shared" si="34"/>
        <v>0</v>
      </c>
      <c r="N107" s="14">
        <f t="shared" si="34"/>
        <v>0</v>
      </c>
      <c r="O107" s="14">
        <f t="shared" si="34"/>
        <v>0</v>
      </c>
      <c r="P107" s="14">
        <f t="shared" si="34"/>
        <v>0</v>
      </c>
      <c r="Q107" s="55">
        <f t="shared" si="30"/>
        <v>74176.70000000001</v>
      </c>
    </row>
    <row r="108" spans="1:17" ht="12.75" thickBot="1">
      <c r="A108" s="11"/>
      <c r="B108" s="12"/>
      <c r="C108" s="13"/>
      <c r="D108" s="27"/>
      <c r="E108" s="22" t="s">
        <v>37</v>
      </c>
      <c r="F108" s="22">
        <f aca="true" t="shared" si="35" ref="F108:Q108">F95+F99+F103+F107</f>
        <v>257091.51</v>
      </c>
      <c r="G108" s="22">
        <f t="shared" si="35"/>
        <v>0</v>
      </c>
      <c r="H108" s="22">
        <f t="shared" si="35"/>
        <v>11400</v>
      </c>
      <c r="I108" s="22">
        <f t="shared" si="35"/>
        <v>0</v>
      </c>
      <c r="J108" s="22">
        <f t="shared" si="35"/>
        <v>0</v>
      </c>
      <c r="K108" s="22">
        <f t="shared" si="35"/>
        <v>6828.38</v>
      </c>
      <c r="L108" s="22">
        <f t="shared" si="35"/>
        <v>0</v>
      </c>
      <c r="M108" s="22">
        <f t="shared" si="35"/>
        <v>0</v>
      </c>
      <c r="N108" s="22">
        <f t="shared" si="35"/>
        <v>0</v>
      </c>
      <c r="O108" s="22">
        <f t="shared" si="35"/>
        <v>10062.18</v>
      </c>
      <c r="P108" s="22">
        <f t="shared" si="35"/>
        <v>0</v>
      </c>
      <c r="Q108" s="23">
        <f t="shared" si="35"/>
        <v>285382.06999999995</v>
      </c>
    </row>
    <row r="109" spans="1:17" ht="12">
      <c r="A109" s="11">
        <v>7</v>
      </c>
      <c r="B109" s="12">
        <v>18</v>
      </c>
      <c r="C109" s="13" t="s">
        <v>48</v>
      </c>
      <c r="D109" s="27" t="s">
        <v>49</v>
      </c>
      <c r="E109" s="10" t="s">
        <v>21</v>
      </c>
      <c r="F109" s="10">
        <v>1078.36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29">
        <f aca="true" t="shared" si="36" ref="Q109:Q124">SUM(F109:P109)</f>
        <v>1078.36</v>
      </c>
    </row>
    <row r="110" spans="1:17" ht="12">
      <c r="A110" s="11"/>
      <c r="B110" s="12"/>
      <c r="C110" s="13"/>
      <c r="D110" s="27"/>
      <c r="E110" s="10" t="s">
        <v>22</v>
      </c>
      <c r="F110" s="10">
        <v>1155.89</v>
      </c>
      <c r="G110" s="10"/>
      <c r="H110" s="10">
        <v>120</v>
      </c>
      <c r="I110" s="10"/>
      <c r="J110" s="10"/>
      <c r="K110" s="10"/>
      <c r="L110" s="10"/>
      <c r="M110" s="10"/>
      <c r="N110" s="10"/>
      <c r="O110" s="10"/>
      <c r="P110" s="10"/>
      <c r="Q110" s="29">
        <f t="shared" si="36"/>
        <v>1275.89</v>
      </c>
    </row>
    <row r="111" spans="1:17" ht="12">
      <c r="A111" s="11"/>
      <c r="B111" s="12"/>
      <c r="C111" s="13"/>
      <c r="D111" s="27"/>
      <c r="E111" s="10" t="s">
        <v>23</v>
      </c>
      <c r="F111" s="10">
        <v>130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29">
        <f t="shared" si="36"/>
        <v>130</v>
      </c>
    </row>
    <row r="112" spans="1:17" ht="12">
      <c r="A112" s="11"/>
      <c r="B112" s="12"/>
      <c r="C112" s="13"/>
      <c r="D112" s="27"/>
      <c r="E112" s="14" t="s">
        <v>24</v>
      </c>
      <c r="F112" s="14">
        <f aca="true" t="shared" si="37" ref="F112:P112">SUM(F109:F111)</f>
        <v>2364.25</v>
      </c>
      <c r="G112" s="14">
        <f t="shared" si="37"/>
        <v>0</v>
      </c>
      <c r="H112" s="14">
        <f t="shared" si="37"/>
        <v>120</v>
      </c>
      <c r="I112" s="14">
        <f t="shared" si="37"/>
        <v>0</v>
      </c>
      <c r="J112" s="14">
        <f t="shared" si="37"/>
        <v>0</v>
      </c>
      <c r="K112" s="14">
        <f t="shared" si="37"/>
        <v>0</v>
      </c>
      <c r="L112" s="14">
        <f t="shared" si="37"/>
        <v>0</v>
      </c>
      <c r="M112" s="14">
        <f t="shared" si="37"/>
        <v>0</v>
      </c>
      <c r="N112" s="14">
        <f t="shared" si="37"/>
        <v>0</v>
      </c>
      <c r="O112" s="14">
        <f t="shared" si="37"/>
        <v>0</v>
      </c>
      <c r="P112" s="14">
        <f t="shared" si="37"/>
        <v>0</v>
      </c>
      <c r="Q112" s="55">
        <f t="shared" si="36"/>
        <v>2484.25</v>
      </c>
    </row>
    <row r="113" spans="1:17" ht="12">
      <c r="A113" s="11"/>
      <c r="B113" s="12"/>
      <c r="C113" s="13"/>
      <c r="D113" s="27"/>
      <c r="E113" s="10" t="s">
        <v>25</v>
      </c>
      <c r="F113" s="10">
        <v>1242.39</v>
      </c>
      <c r="G113" s="10"/>
      <c r="H113" s="10"/>
      <c r="I113" s="10"/>
      <c r="J113" s="10">
        <v>420</v>
      </c>
      <c r="K113" s="10"/>
      <c r="L113" s="10"/>
      <c r="M113" s="10"/>
      <c r="N113" s="10"/>
      <c r="O113" s="10"/>
      <c r="P113" s="10"/>
      <c r="Q113" s="29">
        <f t="shared" si="36"/>
        <v>1662.39</v>
      </c>
    </row>
    <row r="114" spans="1:17" ht="12">
      <c r="A114" s="11"/>
      <c r="B114" s="12"/>
      <c r="C114" s="13"/>
      <c r="D114" s="27"/>
      <c r="E114" s="10" t="s">
        <v>26</v>
      </c>
      <c r="F114" s="10">
        <v>499.53</v>
      </c>
      <c r="G114" s="10"/>
      <c r="H114" s="10">
        <v>120</v>
      </c>
      <c r="I114" s="10"/>
      <c r="J114" s="10"/>
      <c r="K114" s="10"/>
      <c r="L114" s="10"/>
      <c r="M114" s="10"/>
      <c r="N114" s="10"/>
      <c r="O114" s="10"/>
      <c r="P114" s="10"/>
      <c r="Q114" s="29">
        <f t="shared" si="36"/>
        <v>619.53</v>
      </c>
    </row>
    <row r="115" spans="1:17" ht="12">
      <c r="A115" s="11"/>
      <c r="B115" s="12"/>
      <c r="C115" s="13"/>
      <c r="D115" s="27"/>
      <c r="E115" s="10" t="s">
        <v>27</v>
      </c>
      <c r="F115" s="10">
        <v>809.63</v>
      </c>
      <c r="G115" s="10"/>
      <c r="H115" s="10">
        <v>120</v>
      </c>
      <c r="I115" s="10"/>
      <c r="J115" s="10"/>
      <c r="K115" s="10"/>
      <c r="L115" s="10"/>
      <c r="M115" s="10"/>
      <c r="N115" s="10"/>
      <c r="O115" s="10"/>
      <c r="P115" s="10"/>
      <c r="Q115" s="29">
        <f t="shared" si="36"/>
        <v>929.63</v>
      </c>
    </row>
    <row r="116" spans="1:17" ht="12">
      <c r="A116" s="11"/>
      <c r="B116" s="12"/>
      <c r="C116" s="13"/>
      <c r="D116" s="27"/>
      <c r="E116" s="14" t="s">
        <v>28</v>
      </c>
      <c r="F116" s="14">
        <f aca="true" t="shared" si="38" ref="F116:P116">SUM(F113:F115)</f>
        <v>2551.55</v>
      </c>
      <c r="G116" s="14">
        <f t="shared" si="38"/>
        <v>0</v>
      </c>
      <c r="H116" s="14">
        <f t="shared" si="38"/>
        <v>240</v>
      </c>
      <c r="I116" s="14">
        <f t="shared" si="38"/>
        <v>0</v>
      </c>
      <c r="J116" s="14">
        <f t="shared" si="38"/>
        <v>420</v>
      </c>
      <c r="K116" s="14">
        <f t="shared" si="38"/>
        <v>0</v>
      </c>
      <c r="L116" s="14">
        <f t="shared" si="38"/>
        <v>0</v>
      </c>
      <c r="M116" s="14">
        <f t="shared" si="38"/>
        <v>0</v>
      </c>
      <c r="N116" s="14">
        <f t="shared" si="38"/>
        <v>0</v>
      </c>
      <c r="O116" s="14">
        <f t="shared" si="38"/>
        <v>0</v>
      </c>
      <c r="P116" s="14">
        <f t="shared" si="38"/>
        <v>0</v>
      </c>
      <c r="Q116" s="55">
        <f t="shared" si="36"/>
        <v>3211.55</v>
      </c>
    </row>
    <row r="117" spans="1:17" ht="12.75">
      <c r="A117" s="11"/>
      <c r="B117" s="12"/>
      <c r="C117" s="13"/>
      <c r="D117" s="27"/>
      <c r="E117" s="10" t="s">
        <v>29</v>
      </c>
      <c r="F117" s="10">
        <v>202.63</v>
      </c>
      <c r="G117" s="10"/>
      <c r="H117" s="17"/>
      <c r="I117" s="10"/>
      <c r="J117" s="10"/>
      <c r="K117" s="10"/>
      <c r="L117" s="10"/>
      <c r="M117" s="10"/>
      <c r="N117" s="10"/>
      <c r="O117" s="10"/>
      <c r="P117" s="10"/>
      <c r="Q117" s="29">
        <f t="shared" si="36"/>
        <v>202.63</v>
      </c>
    </row>
    <row r="118" spans="1:17" ht="12.75">
      <c r="A118" s="11"/>
      <c r="B118" s="12"/>
      <c r="C118" s="13"/>
      <c r="D118" s="27"/>
      <c r="E118" s="10" t="s">
        <v>30</v>
      </c>
      <c r="F118" s="10">
        <v>1608.11</v>
      </c>
      <c r="G118" s="10"/>
      <c r="H118" s="17">
        <v>120</v>
      </c>
      <c r="I118" s="10"/>
      <c r="J118" s="10"/>
      <c r="K118" s="10"/>
      <c r="L118" s="10"/>
      <c r="M118" s="10"/>
      <c r="N118" s="10"/>
      <c r="O118" s="10"/>
      <c r="P118" s="10"/>
      <c r="Q118" s="29">
        <f t="shared" si="36"/>
        <v>1728.11</v>
      </c>
    </row>
    <row r="119" spans="1:17" ht="12.75">
      <c r="A119" s="11"/>
      <c r="B119" s="12"/>
      <c r="C119" s="13"/>
      <c r="D119" s="27"/>
      <c r="E119" s="10" t="s">
        <v>31</v>
      </c>
      <c r="F119" s="17">
        <v>284.45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29">
        <f t="shared" si="36"/>
        <v>284.45</v>
      </c>
    </row>
    <row r="120" spans="1:17" ht="12">
      <c r="A120" s="11"/>
      <c r="B120" s="12"/>
      <c r="C120" s="13"/>
      <c r="D120" s="27"/>
      <c r="E120" s="14" t="s">
        <v>32</v>
      </c>
      <c r="F120" s="14">
        <f aca="true" t="shared" si="39" ref="F120:P120">SUM(F117:F119)</f>
        <v>2095.1899999999996</v>
      </c>
      <c r="G120" s="14">
        <f t="shared" si="39"/>
        <v>0</v>
      </c>
      <c r="H120" s="14">
        <f t="shared" si="39"/>
        <v>120</v>
      </c>
      <c r="I120" s="14">
        <f t="shared" si="39"/>
        <v>0</v>
      </c>
      <c r="J120" s="14">
        <f t="shared" si="39"/>
        <v>0</v>
      </c>
      <c r="K120" s="14">
        <f t="shared" si="39"/>
        <v>0</v>
      </c>
      <c r="L120" s="14">
        <f t="shared" si="39"/>
        <v>0</v>
      </c>
      <c r="M120" s="14">
        <f t="shared" si="39"/>
        <v>0</v>
      </c>
      <c r="N120" s="14">
        <f t="shared" si="39"/>
        <v>0</v>
      </c>
      <c r="O120" s="14">
        <f t="shared" si="39"/>
        <v>0</v>
      </c>
      <c r="P120" s="14">
        <f t="shared" si="39"/>
        <v>0</v>
      </c>
      <c r="Q120" s="55">
        <f t="shared" si="36"/>
        <v>2215.1899999999996</v>
      </c>
    </row>
    <row r="121" spans="1:17" ht="12.75">
      <c r="A121" s="11"/>
      <c r="B121" s="12"/>
      <c r="C121" s="13"/>
      <c r="D121" s="27"/>
      <c r="E121" s="10" t="s">
        <v>33</v>
      </c>
      <c r="F121" s="17">
        <v>1159.55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29">
        <f t="shared" si="36"/>
        <v>1159.55</v>
      </c>
    </row>
    <row r="122" spans="1:17" ht="12.75">
      <c r="A122" s="11"/>
      <c r="B122" s="12"/>
      <c r="C122" s="13"/>
      <c r="D122" s="27"/>
      <c r="E122" s="10" t="s">
        <v>34</v>
      </c>
      <c r="F122" s="10">
        <v>1914.46</v>
      </c>
      <c r="G122" s="10"/>
      <c r="H122" s="17">
        <v>120</v>
      </c>
      <c r="I122" s="10"/>
      <c r="J122" s="17">
        <v>480</v>
      </c>
      <c r="K122" s="10"/>
      <c r="L122" s="10"/>
      <c r="M122" s="10"/>
      <c r="N122" s="10"/>
      <c r="O122" s="10"/>
      <c r="P122" s="10"/>
      <c r="Q122" s="29">
        <f t="shared" si="36"/>
        <v>2514.46</v>
      </c>
    </row>
    <row r="123" spans="1:17" ht="12.75">
      <c r="A123" s="11"/>
      <c r="B123" s="12"/>
      <c r="C123" s="13"/>
      <c r="D123" s="27"/>
      <c r="E123" s="10" t="s">
        <v>35</v>
      </c>
      <c r="F123" s="10">
        <v>943.53</v>
      </c>
      <c r="G123" s="10"/>
      <c r="H123" s="18">
        <v>120</v>
      </c>
      <c r="I123" s="10"/>
      <c r="J123" s="10"/>
      <c r="K123" s="10"/>
      <c r="L123" s="10"/>
      <c r="M123" s="10"/>
      <c r="N123" s="10"/>
      <c r="O123" s="10"/>
      <c r="P123" s="10"/>
      <c r="Q123" s="29">
        <f t="shared" si="36"/>
        <v>1063.53</v>
      </c>
    </row>
    <row r="124" spans="1:17" ht="12">
      <c r="A124" s="11"/>
      <c r="B124" s="12"/>
      <c r="C124" s="13"/>
      <c r="D124" s="27"/>
      <c r="E124" s="14" t="s">
        <v>36</v>
      </c>
      <c r="F124" s="14">
        <f aca="true" t="shared" si="40" ref="F124:P124">SUM(F121:F123)</f>
        <v>4017.54</v>
      </c>
      <c r="G124" s="14">
        <f t="shared" si="40"/>
        <v>0</v>
      </c>
      <c r="H124" s="14">
        <f t="shared" si="40"/>
        <v>240</v>
      </c>
      <c r="I124" s="14">
        <f t="shared" si="40"/>
        <v>0</v>
      </c>
      <c r="J124" s="14">
        <f t="shared" si="40"/>
        <v>480</v>
      </c>
      <c r="K124" s="14">
        <f t="shared" si="40"/>
        <v>0</v>
      </c>
      <c r="L124" s="14">
        <f t="shared" si="40"/>
        <v>0</v>
      </c>
      <c r="M124" s="14">
        <f t="shared" si="40"/>
        <v>0</v>
      </c>
      <c r="N124" s="14">
        <f t="shared" si="40"/>
        <v>0</v>
      </c>
      <c r="O124" s="14">
        <f t="shared" si="40"/>
        <v>0</v>
      </c>
      <c r="P124" s="14">
        <f t="shared" si="40"/>
        <v>0</v>
      </c>
      <c r="Q124" s="55">
        <f t="shared" si="36"/>
        <v>4737.54</v>
      </c>
    </row>
    <row r="125" spans="1:17" ht="12.75" thickBot="1">
      <c r="A125" s="11"/>
      <c r="B125" s="12"/>
      <c r="C125" s="13"/>
      <c r="D125" s="27"/>
      <c r="E125" s="22" t="s">
        <v>37</v>
      </c>
      <c r="F125" s="22">
        <f aca="true" t="shared" si="41" ref="F125:Q125">F112+F116+F120+F124</f>
        <v>11028.529999999999</v>
      </c>
      <c r="G125" s="22">
        <f t="shared" si="41"/>
        <v>0</v>
      </c>
      <c r="H125" s="22">
        <f t="shared" si="41"/>
        <v>720</v>
      </c>
      <c r="I125" s="22">
        <f t="shared" si="41"/>
        <v>0</v>
      </c>
      <c r="J125" s="22">
        <f t="shared" si="41"/>
        <v>900</v>
      </c>
      <c r="K125" s="22">
        <f t="shared" si="41"/>
        <v>0</v>
      </c>
      <c r="L125" s="22">
        <f t="shared" si="41"/>
        <v>0</v>
      </c>
      <c r="M125" s="22">
        <f t="shared" si="41"/>
        <v>0</v>
      </c>
      <c r="N125" s="22">
        <f t="shared" si="41"/>
        <v>0</v>
      </c>
      <c r="O125" s="22">
        <f t="shared" si="41"/>
        <v>0</v>
      </c>
      <c r="P125" s="22">
        <f t="shared" si="41"/>
        <v>0</v>
      </c>
      <c r="Q125" s="23">
        <f t="shared" si="41"/>
        <v>12648.529999999999</v>
      </c>
    </row>
    <row r="126" spans="1:17" ht="12">
      <c r="A126" s="11">
        <v>8</v>
      </c>
      <c r="B126" s="12">
        <v>28</v>
      </c>
      <c r="C126" s="13" t="s">
        <v>50</v>
      </c>
      <c r="D126" s="27" t="s">
        <v>51</v>
      </c>
      <c r="E126" s="10" t="s">
        <v>21</v>
      </c>
      <c r="F126" s="10">
        <v>2128.49</v>
      </c>
      <c r="G126" s="10"/>
      <c r="H126" s="10"/>
      <c r="I126" s="10"/>
      <c r="J126" s="10"/>
      <c r="K126" s="10">
        <v>154.91</v>
      </c>
      <c r="L126" s="10"/>
      <c r="M126" s="10"/>
      <c r="N126" s="10"/>
      <c r="O126" s="10"/>
      <c r="P126" s="10"/>
      <c r="Q126" s="29">
        <f aca="true" t="shared" si="42" ref="Q126:Q141">SUM(F126:P126)</f>
        <v>2283.3999999999996</v>
      </c>
    </row>
    <row r="127" spans="1:17" ht="12">
      <c r="A127" s="11"/>
      <c r="B127" s="12"/>
      <c r="C127" s="13"/>
      <c r="D127" s="27"/>
      <c r="E127" s="10" t="s">
        <v>22</v>
      </c>
      <c r="F127" s="10">
        <v>2190.65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29">
        <f t="shared" si="42"/>
        <v>2190.65</v>
      </c>
    </row>
    <row r="128" spans="1:17" ht="12">
      <c r="A128" s="11"/>
      <c r="B128" s="12"/>
      <c r="C128" s="13"/>
      <c r="D128" s="27"/>
      <c r="E128" s="10" t="s">
        <v>23</v>
      </c>
      <c r="F128" s="10">
        <v>3711.89</v>
      </c>
      <c r="G128" s="10"/>
      <c r="H128" s="10"/>
      <c r="I128" s="10"/>
      <c r="J128" s="10"/>
      <c r="K128" s="10">
        <v>283.66</v>
      </c>
      <c r="L128" s="10"/>
      <c r="M128" s="10"/>
      <c r="N128" s="10"/>
      <c r="O128" s="10"/>
      <c r="P128" s="10"/>
      <c r="Q128" s="29">
        <f t="shared" si="42"/>
        <v>3995.5499999999997</v>
      </c>
    </row>
    <row r="129" spans="1:17" ht="12">
      <c r="A129" s="11"/>
      <c r="B129" s="12"/>
      <c r="C129" s="13"/>
      <c r="D129" s="27"/>
      <c r="E129" s="14" t="s">
        <v>24</v>
      </c>
      <c r="F129" s="14">
        <f aca="true" t="shared" si="43" ref="F129:P129">SUM(F126:F128)</f>
        <v>8031.029999999999</v>
      </c>
      <c r="G129" s="14">
        <f t="shared" si="43"/>
        <v>0</v>
      </c>
      <c r="H129" s="14">
        <f t="shared" si="43"/>
        <v>0</v>
      </c>
      <c r="I129" s="14">
        <f t="shared" si="43"/>
        <v>0</v>
      </c>
      <c r="J129" s="14">
        <f t="shared" si="43"/>
        <v>0</v>
      </c>
      <c r="K129" s="14">
        <f t="shared" si="43"/>
        <v>438.57000000000005</v>
      </c>
      <c r="L129" s="14">
        <f t="shared" si="43"/>
        <v>0</v>
      </c>
      <c r="M129" s="14">
        <f t="shared" si="43"/>
        <v>0</v>
      </c>
      <c r="N129" s="14">
        <f t="shared" si="43"/>
        <v>0</v>
      </c>
      <c r="O129" s="14">
        <f t="shared" si="43"/>
        <v>0</v>
      </c>
      <c r="P129" s="14">
        <f t="shared" si="43"/>
        <v>0</v>
      </c>
      <c r="Q129" s="55">
        <f t="shared" si="42"/>
        <v>8469.599999999999</v>
      </c>
    </row>
    <row r="130" spans="1:17" ht="12">
      <c r="A130" s="11"/>
      <c r="B130" s="12"/>
      <c r="C130" s="13"/>
      <c r="D130" s="27"/>
      <c r="E130" s="10" t="s">
        <v>25</v>
      </c>
      <c r="F130" s="10">
        <v>1390.72</v>
      </c>
      <c r="G130" s="10"/>
      <c r="H130" s="10"/>
      <c r="I130" s="10"/>
      <c r="J130" s="10"/>
      <c r="K130" s="10">
        <v>438.57</v>
      </c>
      <c r="L130" s="10"/>
      <c r="M130" s="10"/>
      <c r="N130" s="10"/>
      <c r="O130" s="10"/>
      <c r="P130" s="10"/>
      <c r="Q130" s="29">
        <f t="shared" si="42"/>
        <v>1829.29</v>
      </c>
    </row>
    <row r="131" spans="1:17" ht="12">
      <c r="A131" s="11"/>
      <c r="B131" s="12"/>
      <c r="C131" s="13"/>
      <c r="D131" s="27"/>
      <c r="E131" s="10" t="s">
        <v>26</v>
      </c>
      <c r="F131" s="10">
        <v>1682.2</v>
      </c>
      <c r="G131" s="10"/>
      <c r="H131" s="10"/>
      <c r="I131" s="10"/>
      <c r="J131" s="10"/>
      <c r="K131" s="10">
        <v>283.66</v>
      </c>
      <c r="L131" s="10"/>
      <c r="M131" s="10"/>
      <c r="N131" s="10"/>
      <c r="O131" s="10"/>
      <c r="P131" s="10"/>
      <c r="Q131" s="29">
        <f t="shared" si="42"/>
        <v>1965.8600000000001</v>
      </c>
    </row>
    <row r="132" spans="1:17" ht="12">
      <c r="A132" s="11"/>
      <c r="B132" s="12"/>
      <c r="C132" s="13"/>
      <c r="D132" s="27"/>
      <c r="E132" s="10" t="s">
        <v>27</v>
      </c>
      <c r="F132" s="10">
        <v>4186.22</v>
      </c>
      <c r="G132" s="10"/>
      <c r="H132" s="10"/>
      <c r="I132" s="10"/>
      <c r="J132" s="10"/>
      <c r="K132" s="10">
        <v>567.32</v>
      </c>
      <c r="L132" s="10"/>
      <c r="M132" s="10"/>
      <c r="N132" s="10"/>
      <c r="O132" s="10"/>
      <c r="P132" s="10"/>
      <c r="Q132" s="29">
        <f t="shared" si="42"/>
        <v>4753.54</v>
      </c>
    </row>
    <row r="133" spans="1:17" ht="12">
      <c r="A133" s="11"/>
      <c r="B133" s="12"/>
      <c r="C133" s="13"/>
      <c r="D133" s="27"/>
      <c r="E133" s="14" t="s">
        <v>28</v>
      </c>
      <c r="F133" s="14">
        <f aca="true" t="shared" si="44" ref="F133:P133">SUM(F130:F132)</f>
        <v>7259.14</v>
      </c>
      <c r="G133" s="14">
        <f t="shared" si="44"/>
        <v>0</v>
      </c>
      <c r="H133" s="14">
        <f t="shared" si="44"/>
        <v>0</v>
      </c>
      <c r="I133" s="14">
        <f t="shared" si="44"/>
        <v>0</v>
      </c>
      <c r="J133" s="14">
        <f t="shared" si="44"/>
        <v>0</v>
      </c>
      <c r="K133" s="14">
        <f t="shared" si="44"/>
        <v>1289.5500000000002</v>
      </c>
      <c r="L133" s="14">
        <f t="shared" si="44"/>
        <v>0</v>
      </c>
      <c r="M133" s="14">
        <f t="shared" si="44"/>
        <v>0</v>
      </c>
      <c r="N133" s="14">
        <f t="shared" si="44"/>
        <v>0</v>
      </c>
      <c r="O133" s="14">
        <f t="shared" si="44"/>
        <v>0</v>
      </c>
      <c r="P133" s="14">
        <f t="shared" si="44"/>
        <v>0</v>
      </c>
      <c r="Q133" s="55">
        <f t="shared" si="42"/>
        <v>8548.69</v>
      </c>
    </row>
    <row r="134" spans="1:17" ht="12">
      <c r="A134" s="11"/>
      <c r="B134" s="12"/>
      <c r="C134" s="13"/>
      <c r="D134" s="27"/>
      <c r="E134" s="10" t="s">
        <v>29</v>
      </c>
      <c r="F134" s="10">
        <v>2244.07</v>
      </c>
      <c r="G134" s="10"/>
      <c r="H134" s="10"/>
      <c r="I134" s="10"/>
      <c r="J134" s="10"/>
      <c r="K134" s="10">
        <v>438.57</v>
      </c>
      <c r="L134" s="10"/>
      <c r="M134" s="10"/>
      <c r="N134" s="10"/>
      <c r="O134" s="10"/>
      <c r="P134" s="10"/>
      <c r="Q134" s="29">
        <f t="shared" si="42"/>
        <v>2682.6400000000003</v>
      </c>
    </row>
    <row r="135" spans="1:17" ht="12.75">
      <c r="A135" s="11"/>
      <c r="B135" s="12"/>
      <c r="C135" s="13"/>
      <c r="D135" s="27"/>
      <c r="E135" s="10" t="s">
        <v>30</v>
      </c>
      <c r="F135" s="17">
        <v>1556.97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29">
        <f t="shared" si="42"/>
        <v>1556.97</v>
      </c>
    </row>
    <row r="136" spans="1:17" ht="12.75">
      <c r="A136" s="11"/>
      <c r="B136" s="12"/>
      <c r="C136" s="13"/>
      <c r="D136" s="27"/>
      <c r="E136" s="10" t="s">
        <v>31</v>
      </c>
      <c r="F136" s="17">
        <v>3580.34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29">
        <f t="shared" si="42"/>
        <v>3580.34</v>
      </c>
    </row>
    <row r="137" spans="1:17" ht="12">
      <c r="A137" s="11"/>
      <c r="B137" s="12"/>
      <c r="C137" s="13"/>
      <c r="D137" s="27"/>
      <c r="E137" s="14" t="s">
        <v>32</v>
      </c>
      <c r="F137" s="14">
        <f aca="true" t="shared" si="45" ref="F137:P137">SUM(F134:F136)</f>
        <v>7381.38</v>
      </c>
      <c r="G137" s="14">
        <f t="shared" si="45"/>
        <v>0</v>
      </c>
      <c r="H137" s="14">
        <f t="shared" si="45"/>
        <v>0</v>
      </c>
      <c r="I137" s="14">
        <f t="shared" si="45"/>
        <v>0</v>
      </c>
      <c r="J137" s="14">
        <f t="shared" si="45"/>
        <v>0</v>
      </c>
      <c r="K137" s="14">
        <f t="shared" si="45"/>
        <v>438.57</v>
      </c>
      <c r="L137" s="14">
        <f t="shared" si="45"/>
        <v>0</v>
      </c>
      <c r="M137" s="14">
        <f t="shared" si="45"/>
        <v>0</v>
      </c>
      <c r="N137" s="14">
        <f t="shared" si="45"/>
        <v>0</v>
      </c>
      <c r="O137" s="14">
        <f t="shared" si="45"/>
        <v>0</v>
      </c>
      <c r="P137" s="14">
        <f t="shared" si="45"/>
        <v>0</v>
      </c>
      <c r="Q137" s="55">
        <f t="shared" si="42"/>
        <v>7819.95</v>
      </c>
    </row>
    <row r="138" spans="1:17" ht="12.75">
      <c r="A138" s="11"/>
      <c r="B138" s="12"/>
      <c r="C138" s="13"/>
      <c r="D138" s="27"/>
      <c r="E138" s="10" t="s">
        <v>33</v>
      </c>
      <c r="F138" s="17">
        <v>1295.67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29">
        <f t="shared" si="42"/>
        <v>1295.67</v>
      </c>
    </row>
    <row r="139" spans="1:17" ht="12.75">
      <c r="A139" s="11"/>
      <c r="B139" s="12"/>
      <c r="C139" s="13"/>
      <c r="D139" s="27"/>
      <c r="E139" s="10" t="s">
        <v>34</v>
      </c>
      <c r="F139" s="17">
        <v>2710.5</v>
      </c>
      <c r="G139" s="10"/>
      <c r="H139" s="10"/>
      <c r="I139" s="10"/>
      <c r="J139" s="10"/>
      <c r="K139" s="17">
        <v>154.91</v>
      </c>
      <c r="L139" s="10"/>
      <c r="M139" s="10"/>
      <c r="N139" s="10"/>
      <c r="O139" s="10"/>
      <c r="P139" s="10"/>
      <c r="Q139" s="29">
        <f t="shared" si="42"/>
        <v>2865.41</v>
      </c>
    </row>
    <row r="140" spans="1:17" ht="12.75">
      <c r="A140" s="11"/>
      <c r="B140" s="12"/>
      <c r="C140" s="13"/>
      <c r="D140" s="27"/>
      <c r="E140" s="10" t="s">
        <v>35</v>
      </c>
      <c r="F140" s="18">
        <v>3477.33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29">
        <f t="shared" si="42"/>
        <v>3477.33</v>
      </c>
    </row>
    <row r="141" spans="1:17" ht="12">
      <c r="A141" s="11"/>
      <c r="B141" s="12"/>
      <c r="C141" s="13"/>
      <c r="D141" s="27"/>
      <c r="E141" s="14" t="s">
        <v>36</v>
      </c>
      <c r="F141" s="14">
        <f aca="true" t="shared" si="46" ref="F141:P141">SUM(F138:F140)</f>
        <v>7483.5</v>
      </c>
      <c r="G141" s="14">
        <f t="shared" si="46"/>
        <v>0</v>
      </c>
      <c r="H141" s="14">
        <f t="shared" si="46"/>
        <v>0</v>
      </c>
      <c r="I141" s="14">
        <f t="shared" si="46"/>
        <v>0</v>
      </c>
      <c r="J141" s="14">
        <f t="shared" si="46"/>
        <v>0</v>
      </c>
      <c r="K141" s="14">
        <f t="shared" si="46"/>
        <v>154.91</v>
      </c>
      <c r="L141" s="14">
        <f t="shared" si="46"/>
        <v>0</v>
      </c>
      <c r="M141" s="14">
        <f t="shared" si="46"/>
        <v>0</v>
      </c>
      <c r="N141" s="14">
        <f t="shared" si="46"/>
        <v>0</v>
      </c>
      <c r="O141" s="14">
        <f t="shared" si="46"/>
        <v>0</v>
      </c>
      <c r="P141" s="14">
        <f t="shared" si="46"/>
        <v>0</v>
      </c>
      <c r="Q141" s="55">
        <f t="shared" si="42"/>
        <v>7638.41</v>
      </c>
    </row>
    <row r="142" spans="1:17" ht="12.75" thickBot="1">
      <c r="A142" s="11"/>
      <c r="B142" s="12"/>
      <c r="C142" s="13"/>
      <c r="D142" s="27"/>
      <c r="E142" s="22" t="s">
        <v>37</v>
      </c>
      <c r="F142" s="22">
        <f aca="true" t="shared" si="47" ref="F142:Q142">F129+F133+F137+F141</f>
        <v>30155.05</v>
      </c>
      <c r="G142" s="22">
        <f t="shared" si="47"/>
        <v>0</v>
      </c>
      <c r="H142" s="22">
        <f t="shared" si="47"/>
        <v>0</v>
      </c>
      <c r="I142" s="22">
        <f t="shared" si="47"/>
        <v>0</v>
      </c>
      <c r="J142" s="22">
        <f t="shared" si="47"/>
        <v>0</v>
      </c>
      <c r="K142" s="22">
        <f t="shared" si="47"/>
        <v>2321.6000000000004</v>
      </c>
      <c r="L142" s="22">
        <f t="shared" si="47"/>
        <v>0</v>
      </c>
      <c r="M142" s="22">
        <f t="shared" si="47"/>
        <v>0</v>
      </c>
      <c r="N142" s="22">
        <f t="shared" si="47"/>
        <v>0</v>
      </c>
      <c r="O142" s="22">
        <f t="shared" si="47"/>
        <v>0</v>
      </c>
      <c r="P142" s="22">
        <f t="shared" si="47"/>
        <v>0</v>
      </c>
      <c r="Q142" s="23">
        <f t="shared" si="47"/>
        <v>32476.65</v>
      </c>
    </row>
    <row r="143" spans="1:17" ht="12">
      <c r="A143" s="11">
        <v>9</v>
      </c>
      <c r="B143" s="12">
        <v>36</v>
      </c>
      <c r="C143" s="13" t="s">
        <v>52</v>
      </c>
      <c r="D143" s="27" t="s">
        <v>53</v>
      </c>
      <c r="E143" s="10" t="s">
        <v>21</v>
      </c>
      <c r="F143" s="10">
        <v>4308.4</v>
      </c>
      <c r="G143" s="10"/>
      <c r="H143" s="10">
        <v>120</v>
      </c>
      <c r="I143" s="10"/>
      <c r="J143" s="10"/>
      <c r="K143" s="10">
        <v>605.52</v>
      </c>
      <c r="L143" s="10"/>
      <c r="M143" s="10"/>
      <c r="N143" s="10"/>
      <c r="O143" s="10"/>
      <c r="P143" s="10"/>
      <c r="Q143" s="29">
        <f aca="true" t="shared" si="48" ref="Q143:Q158">SUM(F143:P143)</f>
        <v>5033.92</v>
      </c>
    </row>
    <row r="144" spans="1:17" ht="12">
      <c r="A144" s="11"/>
      <c r="B144" s="12"/>
      <c r="C144" s="13"/>
      <c r="D144" s="27"/>
      <c r="E144" s="10" t="s">
        <v>22</v>
      </c>
      <c r="F144" s="10">
        <v>4688.31</v>
      </c>
      <c r="G144" s="10"/>
      <c r="H144" s="10">
        <v>480</v>
      </c>
      <c r="I144" s="10"/>
      <c r="J144" s="10"/>
      <c r="K144" s="10">
        <v>439.71</v>
      </c>
      <c r="L144" s="10"/>
      <c r="M144" s="10"/>
      <c r="N144" s="10"/>
      <c r="O144" s="10"/>
      <c r="P144" s="10"/>
      <c r="Q144" s="29">
        <f t="shared" si="48"/>
        <v>5608.02</v>
      </c>
    </row>
    <row r="145" spans="1:17" ht="12">
      <c r="A145" s="11"/>
      <c r="B145" s="12"/>
      <c r="C145" s="13"/>
      <c r="D145" s="27"/>
      <c r="E145" s="10" t="s">
        <v>23</v>
      </c>
      <c r="F145" s="10">
        <v>4665.47</v>
      </c>
      <c r="G145" s="10"/>
      <c r="H145" s="10">
        <v>120</v>
      </c>
      <c r="I145" s="10"/>
      <c r="J145" s="10"/>
      <c r="K145" s="10">
        <v>249.63</v>
      </c>
      <c r="L145" s="10"/>
      <c r="M145" s="10"/>
      <c r="N145" s="10"/>
      <c r="O145" s="10"/>
      <c r="P145" s="10"/>
      <c r="Q145" s="29">
        <f t="shared" si="48"/>
        <v>5035.1</v>
      </c>
    </row>
    <row r="146" spans="1:17" ht="12">
      <c r="A146" s="11"/>
      <c r="B146" s="12"/>
      <c r="C146" s="13"/>
      <c r="D146" s="27"/>
      <c r="E146" s="14" t="s">
        <v>24</v>
      </c>
      <c r="F146" s="14">
        <f aca="true" t="shared" si="49" ref="F146:P146">SUM(F143:F145)</f>
        <v>13662.18</v>
      </c>
      <c r="G146" s="14">
        <f t="shared" si="49"/>
        <v>0</v>
      </c>
      <c r="H146" s="14">
        <f t="shared" si="49"/>
        <v>720</v>
      </c>
      <c r="I146" s="14">
        <f t="shared" si="49"/>
        <v>0</v>
      </c>
      <c r="J146" s="14">
        <f t="shared" si="49"/>
        <v>0</v>
      </c>
      <c r="K146" s="14">
        <f t="shared" si="49"/>
        <v>1294.8600000000001</v>
      </c>
      <c r="L146" s="14">
        <f t="shared" si="49"/>
        <v>0</v>
      </c>
      <c r="M146" s="14">
        <f t="shared" si="49"/>
        <v>0</v>
      </c>
      <c r="N146" s="14">
        <f t="shared" si="49"/>
        <v>0</v>
      </c>
      <c r="O146" s="14">
        <f t="shared" si="49"/>
        <v>0</v>
      </c>
      <c r="P146" s="14">
        <f t="shared" si="49"/>
        <v>0</v>
      </c>
      <c r="Q146" s="55">
        <f t="shared" si="48"/>
        <v>15677.04</v>
      </c>
    </row>
    <row r="147" spans="1:17" ht="12">
      <c r="A147" s="11"/>
      <c r="B147" s="12"/>
      <c r="C147" s="13"/>
      <c r="D147" s="27"/>
      <c r="E147" s="10" t="s">
        <v>25</v>
      </c>
      <c r="F147" s="10">
        <v>1967.51</v>
      </c>
      <c r="G147" s="10"/>
      <c r="H147" s="10">
        <v>120</v>
      </c>
      <c r="I147" s="10"/>
      <c r="J147" s="10"/>
      <c r="K147" s="10">
        <v>439.71</v>
      </c>
      <c r="L147" s="10"/>
      <c r="M147" s="10"/>
      <c r="N147" s="10"/>
      <c r="O147" s="10"/>
      <c r="P147" s="10"/>
      <c r="Q147" s="29">
        <f t="shared" si="48"/>
        <v>2527.2200000000003</v>
      </c>
    </row>
    <row r="148" spans="1:17" ht="12">
      <c r="A148" s="11"/>
      <c r="B148" s="12"/>
      <c r="C148" s="13"/>
      <c r="D148" s="27"/>
      <c r="E148" s="10" t="s">
        <v>26</v>
      </c>
      <c r="F148" s="10">
        <v>4498.66</v>
      </c>
      <c r="G148" s="10"/>
      <c r="H148" s="16">
        <v>360</v>
      </c>
      <c r="I148" s="10"/>
      <c r="J148" s="10"/>
      <c r="K148" s="10"/>
      <c r="L148" s="10"/>
      <c r="M148" s="10"/>
      <c r="N148" s="10"/>
      <c r="O148" s="10"/>
      <c r="P148" s="10"/>
      <c r="Q148" s="29">
        <f t="shared" si="48"/>
        <v>4858.66</v>
      </c>
    </row>
    <row r="149" spans="1:17" ht="12">
      <c r="A149" s="11"/>
      <c r="B149" s="12"/>
      <c r="C149" s="13"/>
      <c r="D149" s="27"/>
      <c r="E149" s="10" t="s">
        <v>27</v>
      </c>
      <c r="F149" s="10">
        <v>4161.83</v>
      </c>
      <c r="G149" s="10"/>
      <c r="H149" s="10">
        <v>240</v>
      </c>
      <c r="I149" s="10"/>
      <c r="J149" s="10"/>
      <c r="K149" s="10">
        <v>249.63</v>
      </c>
      <c r="L149" s="10"/>
      <c r="M149" s="10"/>
      <c r="N149" s="10"/>
      <c r="O149" s="10"/>
      <c r="P149" s="10"/>
      <c r="Q149" s="29">
        <f t="shared" si="48"/>
        <v>4651.46</v>
      </c>
    </row>
    <row r="150" spans="1:17" ht="12">
      <c r="A150" s="11"/>
      <c r="B150" s="12"/>
      <c r="C150" s="13"/>
      <c r="D150" s="27"/>
      <c r="E150" s="14" t="s">
        <v>28</v>
      </c>
      <c r="F150" s="14">
        <f aca="true" t="shared" si="50" ref="F150:P150">SUM(F147:F149)</f>
        <v>10628</v>
      </c>
      <c r="G150" s="14">
        <f t="shared" si="50"/>
        <v>0</v>
      </c>
      <c r="H150" s="14">
        <f t="shared" si="50"/>
        <v>720</v>
      </c>
      <c r="I150" s="14">
        <f t="shared" si="50"/>
        <v>0</v>
      </c>
      <c r="J150" s="14">
        <f t="shared" si="50"/>
        <v>0</v>
      </c>
      <c r="K150" s="14">
        <f t="shared" si="50"/>
        <v>689.3399999999999</v>
      </c>
      <c r="L150" s="14">
        <f t="shared" si="50"/>
        <v>0</v>
      </c>
      <c r="M150" s="14">
        <f t="shared" si="50"/>
        <v>0</v>
      </c>
      <c r="N150" s="14">
        <f t="shared" si="50"/>
        <v>0</v>
      </c>
      <c r="O150" s="14">
        <f t="shared" si="50"/>
        <v>0</v>
      </c>
      <c r="P150" s="14">
        <f t="shared" si="50"/>
        <v>0</v>
      </c>
      <c r="Q150" s="55">
        <f t="shared" si="48"/>
        <v>12037.34</v>
      </c>
    </row>
    <row r="151" spans="1:17" ht="12">
      <c r="A151" s="11"/>
      <c r="B151" s="12"/>
      <c r="C151" s="13"/>
      <c r="D151" s="27"/>
      <c r="E151" s="10" t="s">
        <v>29</v>
      </c>
      <c r="F151" s="10">
        <v>3786.15</v>
      </c>
      <c r="G151" s="10"/>
      <c r="H151" s="16">
        <v>240</v>
      </c>
      <c r="I151" s="10"/>
      <c r="J151" s="16">
        <v>420</v>
      </c>
      <c r="K151" s="10"/>
      <c r="L151" s="10"/>
      <c r="M151" s="10"/>
      <c r="N151" s="10"/>
      <c r="O151" s="10"/>
      <c r="P151" s="10"/>
      <c r="Q151" s="29">
        <f t="shared" si="48"/>
        <v>4446.15</v>
      </c>
    </row>
    <row r="152" spans="1:17" ht="12.75">
      <c r="A152" s="11"/>
      <c r="B152" s="12"/>
      <c r="C152" s="13"/>
      <c r="D152" s="27"/>
      <c r="E152" s="10" t="s">
        <v>30</v>
      </c>
      <c r="F152" s="10">
        <v>5156.83</v>
      </c>
      <c r="G152" s="10"/>
      <c r="H152" s="17">
        <v>240</v>
      </c>
      <c r="I152" s="10"/>
      <c r="J152" s="10"/>
      <c r="K152" s="17">
        <v>59.69</v>
      </c>
      <c r="L152" s="10"/>
      <c r="M152" s="10"/>
      <c r="N152" s="10"/>
      <c r="O152" s="10"/>
      <c r="P152" s="10"/>
      <c r="Q152" s="29">
        <f t="shared" si="48"/>
        <v>5456.5199999999995</v>
      </c>
    </row>
    <row r="153" spans="1:17" ht="12.75">
      <c r="A153" s="11"/>
      <c r="B153" s="12"/>
      <c r="C153" s="13"/>
      <c r="D153" s="27"/>
      <c r="E153" s="10" t="s">
        <v>31</v>
      </c>
      <c r="F153" s="10">
        <v>4639.96</v>
      </c>
      <c r="G153" s="10"/>
      <c r="H153" s="17">
        <v>360</v>
      </c>
      <c r="I153" s="10"/>
      <c r="J153" s="10"/>
      <c r="K153" s="17">
        <v>119.38</v>
      </c>
      <c r="L153" s="10"/>
      <c r="M153" s="10"/>
      <c r="N153" s="10"/>
      <c r="O153" s="10"/>
      <c r="P153" s="10"/>
      <c r="Q153" s="29">
        <f t="shared" si="48"/>
        <v>5119.34</v>
      </c>
    </row>
    <row r="154" spans="1:17" ht="12">
      <c r="A154" s="11"/>
      <c r="B154" s="12"/>
      <c r="C154" s="13"/>
      <c r="D154" s="27"/>
      <c r="E154" s="14" t="s">
        <v>32</v>
      </c>
      <c r="F154" s="14">
        <f aca="true" t="shared" si="51" ref="F154:P154">SUM(F151:F153)</f>
        <v>13582.939999999999</v>
      </c>
      <c r="G154" s="14">
        <f t="shared" si="51"/>
        <v>0</v>
      </c>
      <c r="H154" s="14">
        <f t="shared" si="51"/>
        <v>840</v>
      </c>
      <c r="I154" s="14">
        <f t="shared" si="51"/>
        <v>0</v>
      </c>
      <c r="J154" s="14">
        <f t="shared" si="51"/>
        <v>420</v>
      </c>
      <c r="K154" s="14">
        <f t="shared" si="51"/>
        <v>179.07</v>
      </c>
      <c r="L154" s="14">
        <f t="shared" si="51"/>
        <v>0</v>
      </c>
      <c r="M154" s="14">
        <f t="shared" si="51"/>
        <v>0</v>
      </c>
      <c r="N154" s="14">
        <f t="shared" si="51"/>
        <v>0</v>
      </c>
      <c r="O154" s="14">
        <f t="shared" si="51"/>
        <v>0</v>
      </c>
      <c r="P154" s="14">
        <f t="shared" si="51"/>
        <v>0</v>
      </c>
      <c r="Q154" s="55">
        <f t="shared" si="48"/>
        <v>15022.009999999998</v>
      </c>
    </row>
    <row r="155" spans="1:17" ht="12.75">
      <c r="A155" s="11"/>
      <c r="B155" s="12"/>
      <c r="C155" s="13"/>
      <c r="D155" s="27"/>
      <c r="E155" s="10" t="s">
        <v>33</v>
      </c>
      <c r="F155" s="10">
        <v>3682.21</v>
      </c>
      <c r="G155" s="10"/>
      <c r="H155" s="17">
        <v>480</v>
      </c>
      <c r="I155" s="10"/>
      <c r="J155" s="10"/>
      <c r="K155" s="17"/>
      <c r="L155" s="10"/>
      <c r="M155" s="10"/>
      <c r="N155" s="10"/>
      <c r="O155" s="10"/>
      <c r="P155" s="10"/>
      <c r="Q155" s="29">
        <f t="shared" si="48"/>
        <v>4162.21</v>
      </c>
    </row>
    <row r="156" spans="1:17" ht="12.75">
      <c r="A156" s="11"/>
      <c r="B156" s="12"/>
      <c r="C156" s="13"/>
      <c r="D156" s="27"/>
      <c r="E156" s="10" t="s">
        <v>34</v>
      </c>
      <c r="F156" s="10">
        <v>4965.91</v>
      </c>
      <c r="G156" s="10"/>
      <c r="H156" s="17">
        <v>360</v>
      </c>
      <c r="I156" s="10"/>
      <c r="J156" s="10"/>
      <c r="K156" s="17">
        <v>254.39</v>
      </c>
      <c r="L156" s="10"/>
      <c r="M156" s="10"/>
      <c r="N156" s="10"/>
      <c r="O156" s="10"/>
      <c r="P156" s="10"/>
      <c r="Q156" s="29">
        <f t="shared" si="48"/>
        <v>5580.3</v>
      </c>
    </row>
    <row r="157" spans="1:17" ht="12.75">
      <c r="A157" s="11"/>
      <c r="B157" s="12"/>
      <c r="C157" s="13"/>
      <c r="D157" s="27"/>
      <c r="E157" s="10" t="s">
        <v>35</v>
      </c>
      <c r="F157" s="10">
        <v>4048.42</v>
      </c>
      <c r="G157" s="10"/>
      <c r="H157" s="18">
        <v>120</v>
      </c>
      <c r="I157" s="10"/>
      <c r="J157" s="10"/>
      <c r="K157" s="10"/>
      <c r="L157" s="10"/>
      <c r="M157" s="10"/>
      <c r="N157" s="10"/>
      <c r="O157" s="10"/>
      <c r="P157" s="10"/>
      <c r="Q157" s="29">
        <f t="shared" si="48"/>
        <v>4168.42</v>
      </c>
    </row>
    <row r="158" spans="1:17" ht="12">
      <c r="A158" s="11"/>
      <c r="B158" s="12"/>
      <c r="C158" s="13"/>
      <c r="D158" s="27"/>
      <c r="E158" s="14" t="s">
        <v>36</v>
      </c>
      <c r="F158" s="14">
        <f aca="true" t="shared" si="52" ref="F158:P158">SUM(F155:F157)</f>
        <v>12696.539999999999</v>
      </c>
      <c r="G158" s="14">
        <f t="shared" si="52"/>
        <v>0</v>
      </c>
      <c r="H158" s="14">
        <f t="shared" si="52"/>
        <v>960</v>
      </c>
      <c r="I158" s="14">
        <f t="shared" si="52"/>
        <v>0</v>
      </c>
      <c r="J158" s="14">
        <f t="shared" si="52"/>
        <v>0</v>
      </c>
      <c r="K158" s="14">
        <f t="shared" si="52"/>
        <v>254.39</v>
      </c>
      <c r="L158" s="14">
        <f t="shared" si="52"/>
        <v>0</v>
      </c>
      <c r="M158" s="14">
        <f t="shared" si="52"/>
        <v>0</v>
      </c>
      <c r="N158" s="14">
        <f t="shared" si="52"/>
        <v>0</v>
      </c>
      <c r="O158" s="14">
        <f t="shared" si="52"/>
        <v>0</v>
      </c>
      <c r="P158" s="14">
        <f t="shared" si="52"/>
        <v>0</v>
      </c>
      <c r="Q158" s="55">
        <f t="shared" si="48"/>
        <v>13910.929999999998</v>
      </c>
    </row>
    <row r="159" spans="1:17" ht="12.75" thickBot="1">
      <c r="A159" s="11"/>
      <c r="B159" s="12"/>
      <c r="C159" s="13"/>
      <c r="D159" s="27"/>
      <c r="E159" s="22" t="s">
        <v>37</v>
      </c>
      <c r="F159" s="22">
        <f aca="true" t="shared" si="53" ref="F159:Q159">F146+F150+F154+F158</f>
        <v>50569.659999999996</v>
      </c>
      <c r="G159" s="22">
        <f t="shared" si="53"/>
        <v>0</v>
      </c>
      <c r="H159" s="22">
        <f t="shared" si="53"/>
        <v>3240</v>
      </c>
      <c r="I159" s="22">
        <f t="shared" si="53"/>
        <v>0</v>
      </c>
      <c r="J159" s="22">
        <f t="shared" si="53"/>
        <v>420</v>
      </c>
      <c r="K159" s="22">
        <f t="shared" si="53"/>
        <v>2417.66</v>
      </c>
      <c r="L159" s="22">
        <f t="shared" si="53"/>
        <v>0</v>
      </c>
      <c r="M159" s="22">
        <f t="shared" si="53"/>
        <v>0</v>
      </c>
      <c r="N159" s="22">
        <f t="shared" si="53"/>
        <v>0</v>
      </c>
      <c r="O159" s="22">
        <f t="shared" si="53"/>
        <v>0</v>
      </c>
      <c r="P159" s="22">
        <f t="shared" si="53"/>
        <v>0</v>
      </c>
      <c r="Q159" s="23">
        <f t="shared" si="53"/>
        <v>56647.32</v>
      </c>
    </row>
    <row r="160" spans="1:17" ht="12">
      <c r="A160" s="11">
        <v>10</v>
      </c>
      <c r="B160" s="12">
        <v>24</v>
      </c>
      <c r="C160" s="13" t="s">
        <v>54</v>
      </c>
      <c r="D160" s="27" t="s">
        <v>55</v>
      </c>
      <c r="E160" s="10" t="s">
        <v>21</v>
      </c>
      <c r="F160" s="10">
        <v>24866.26</v>
      </c>
      <c r="G160" s="10"/>
      <c r="H160" s="10">
        <v>1320</v>
      </c>
      <c r="I160" s="10"/>
      <c r="J160" s="10"/>
      <c r="K160" s="10">
        <v>9876.48</v>
      </c>
      <c r="L160" s="10"/>
      <c r="M160" s="10"/>
      <c r="N160" s="10"/>
      <c r="O160" s="10"/>
      <c r="P160" s="10"/>
      <c r="Q160" s="29">
        <f aca="true" t="shared" si="54" ref="Q160:Q175">SUM(F160:P160)</f>
        <v>36062.74</v>
      </c>
    </row>
    <row r="161" spans="1:17" ht="12">
      <c r="A161" s="11"/>
      <c r="B161" s="12"/>
      <c r="C161" s="13"/>
      <c r="D161" s="27"/>
      <c r="E161" s="10" t="s">
        <v>22</v>
      </c>
      <c r="F161" s="10">
        <v>33924.95</v>
      </c>
      <c r="G161" s="10"/>
      <c r="H161" s="10">
        <v>1440</v>
      </c>
      <c r="I161" s="10"/>
      <c r="J161" s="10"/>
      <c r="K161" s="10">
        <v>8578.18</v>
      </c>
      <c r="L161" s="10"/>
      <c r="M161" s="10"/>
      <c r="N161" s="10"/>
      <c r="O161" s="10"/>
      <c r="P161" s="10"/>
      <c r="Q161" s="29">
        <f t="shared" si="54"/>
        <v>43943.13</v>
      </c>
    </row>
    <row r="162" spans="1:17" ht="12">
      <c r="A162" s="11"/>
      <c r="B162" s="12"/>
      <c r="C162" s="13"/>
      <c r="D162" s="27"/>
      <c r="E162" s="10" t="s">
        <v>23</v>
      </c>
      <c r="F162" s="10">
        <v>48109.89</v>
      </c>
      <c r="G162" s="10"/>
      <c r="H162" s="10">
        <v>2160</v>
      </c>
      <c r="I162" s="10"/>
      <c r="J162" s="10">
        <v>420</v>
      </c>
      <c r="K162" s="10">
        <v>24590.88</v>
      </c>
      <c r="L162" s="10"/>
      <c r="M162" s="10"/>
      <c r="N162" s="10"/>
      <c r="O162" s="10">
        <v>3106.21</v>
      </c>
      <c r="P162" s="10"/>
      <c r="Q162" s="29">
        <f t="shared" si="54"/>
        <v>78386.98000000001</v>
      </c>
    </row>
    <row r="163" spans="1:17" ht="12">
      <c r="A163" s="11"/>
      <c r="B163" s="12"/>
      <c r="C163" s="13"/>
      <c r="D163" s="27"/>
      <c r="E163" s="14" t="s">
        <v>24</v>
      </c>
      <c r="F163" s="14">
        <f aca="true" t="shared" si="55" ref="F163:P163">SUM(F160:F162)</f>
        <v>106901.09999999999</v>
      </c>
      <c r="G163" s="14">
        <f t="shared" si="55"/>
        <v>0</v>
      </c>
      <c r="H163" s="14">
        <f t="shared" si="55"/>
        <v>4920</v>
      </c>
      <c r="I163" s="14">
        <f t="shared" si="55"/>
        <v>0</v>
      </c>
      <c r="J163" s="14">
        <f t="shared" si="55"/>
        <v>420</v>
      </c>
      <c r="K163" s="14">
        <f t="shared" si="55"/>
        <v>43045.54</v>
      </c>
      <c r="L163" s="14">
        <f t="shared" si="55"/>
        <v>0</v>
      </c>
      <c r="M163" s="14">
        <f t="shared" si="55"/>
        <v>0</v>
      </c>
      <c r="N163" s="14">
        <f t="shared" si="55"/>
        <v>0</v>
      </c>
      <c r="O163" s="14">
        <f t="shared" si="55"/>
        <v>3106.21</v>
      </c>
      <c r="P163" s="14">
        <f t="shared" si="55"/>
        <v>0</v>
      </c>
      <c r="Q163" s="55">
        <f t="shared" si="54"/>
        <v>158392.84999999998</v>
      </c>
    </row>
    <row r="164" spans="1:17" ht="12">
      <c r="A164" s="11"/>
      <c r="B164" s="12"/>
      <c r="C164" s="13"/>
      <c r="D164" s="27"/>
      <c r="E164" s="10" t="s">
        <v>25</v>
      </c>
      <c r="F164" s="10">
        <v>34146.33</v>
      </c>
      <c r="G164" s="10"/>
      <c r="H164" s="10">
        <v>1200</v>
      </c>
      <c r="I164" s="10"/>
      <c r="J164" s="10"/>
      <c r="K164" s="10">
        <v>15869.04</v>
      </c>
      <c r="L164" s="10"/>
      <c r="M164" s="10"/>
      <c r="N164" s="10"/>
      <c r="O164" s="10"/>
      <c r="P164" s="10"/>
      <c r="Q164" s="29">
        <f t="shared" si="54"/>
        <v>51215.37</v>
      </c>
    </row>
    <row r="165" spans="1:17" ht="12">
      <c r="A165" s="11"/>
      <c r="B165" s="12"/>
      <c r="C165" s="13"/>
      <c r="D165" s="27"/>
      <c r="E165" s="10" t="s">
        <v>26</v>
      </c>
      <c r="F165" s="10">
        <v>41563.6</v>
      </c>
      <c r="G165" s="10"/>
      <c r="H165" s="10">
        <v>1440</v>
      </c>
      <c r="I165" s="10"/>
      <c r="J165" s="10"/>
      <c r="K165" s="10">
        <v>30759.84</v>
      </c>
      <c r="L165" s="10"/>
      <c r="M165" s="10"/>
      <c r="N165" s="10"/>
      <c r="O165" s="10">
        <v>3794.63</v>
      </c>
      <c r="P165" s="10"/>
      <c r="Q165" s="29">
        <f t="shared" si="54"/>
        <v>77558.07</v>
      </c>
    </row>
    <row r="166" spans="1:17" ht="12">
      <c r="A166" s="11"/>
      <c r="B166" s="12"/>
      <c r="C166" s="13"/>
      <c r="D166" s="27"/>
      <c r="E166" s="10" t="s">
        <v>27</v>
      </c>
      <c r="F166" s="15">
        <f>42513.83-42513.83</f>
        <v>0</v>
      </c>
      <c r="G166" s="10"/>
      <c r="H166" s="10">
        <v>1680</v>
      </c>
      <c r="I166" s="10"/>
      <c r="J166" s="10"/>
      <c r="K166" s="10">
        <v>344.02</v>
      </c>
      <c r="L166" s="10"/>
      <c r="M166" s="10"/>
      <c r="N166" s="10"/>
      <c r="O166" s="10">
        <v>3106.21</v>
      </c>
      <c r="P166" s="10"/>
      <c r="Q166" s="29">
        <f t="shared" si="54"/>
        <v>5130.23</v>
      </c>
    </row>
    <row r="167" spans="1:17" ht="12">
      <c r="A167" s="11"/>
      <c r="B167" s="12"/>
      <c r="C167" s="13"/>
      <c r="D167" s="27"/>
      <c r="E167" s="14" t="s">
        <v>28</v>
      </c>
      <c r="F167" s="14">
        <f aca="true" t="shared" si="56" ref="F167:P167">SUM(F164:F166)</f>
        <v>75709.93</v>
      </c>
      <c r="G167" s="14">
        <f t="shared" si="56"/>
        <v>0</v>
      </c>
      <c r="H167" s="14">
        <f t="shared" si="56"/>
        <v>4320</v>
      </c>
      <c r="I167" s="14">
        <f t="shared" si="56"/>
        <v>0</v>
      </c>
      <c r="J167" s="14">
        <f t="shared" si="56"/>
        <v>0</v>
      </c>
      <c r="K167" s="14">
        <f t="shared" si="56"/>
        <v>46972.9</v>
      </c>
      <c r="L167" s="14">
        <f t="shared" si="56"/>
        <v>0</v>
      </c>
      <c r="M167" s="14">
        <f t="shared" si="56"/>
        <v>0</v>
      </c>
      <c r="N167" s="14">
        <f t="shared" si="56"/>
        <v>0</v>
      </c>
      <c r="O167" s="14">
        <f t="shared" si="56"/>
        <v>6900.84</v>
      </c>
      <c r="P167" s="14">
        <f t="shared" si="56"/>
        <v>0</v>
      </c>
      <c r="Q167" s="55">
        <f t="shared" si="54"/>
        <v>133903.66999999998</v>
      </c>
    </row>
    <row r="168" spans="1:17" ht="12">
      <c r="A168" s="11"/>
      <c r="B168" s="12"/>
      <c r="C168" s="13"/>
      <c r="D168" s="27"/>
      <c r="E168" s="10" t="s">
        <v>29</v>
      </c>
      <c r="F168" s="15">
        <f>42513.83+49016.32</f>
        <v>91530.15</v>
      </c>
      <c r="G168" s="10"/>
      <c r="H168" s="10">
        <v>2160</v>
      </c>
      <c r="I168" s="10"/>
      <c r="J168" s="10"/>
      <c r="K168" s="10">
        <v>15683.72</v>
      </c>
      <c r="L168" s="10"/>
      <c r="M168" s="10"/>
      <c r="N168" s="10"/>
      <c r="O168" s="10"/>
      <c r="P168" s="10"/>
      <c r="Q168" s="29">
        <f t="shared" si="54"/>
        <v>109373.87</v>
      </c>
    </row>
    <row r="169" spans="1:17" ht="12">
      <c r="A169" s="11"/>
      <c r="B169" s="12"/>
      <c r="C169" s="13"/>
      <c r="D169" s="27"/>
      <c r="E169" s="10" t="s">
        <v>30</v>
      </c>
      <c r="F169" s="10">
        <v>37727.71</v>
      </c>
      <c r="G169" s="10"/>
      <c r="H169" s="10">
        <v>1320</v>
      </c>
      <c r="I169" s="10"/>
      <c r="J169" s="10"/>
      <c r="K169" s="10">
        <v>22600.49</v>
      </c>
      <c r="L169" s="10"/>
      <c r="M169" s="10"/>
      <c r="N169" s="10"/>
      <c r="O169" s="10"/>
      <c r="P169" s="10"/>
      <c r="Q169" s="29">
        <f t="shared" si="54"/>
        <v>61648.2</v>
      </c>
    </row>
    <row r="170" spans="1:17" ht="12.75">
      <c r="A170" s="11"/>
      <c r="B170" s="12"/>
      <c r="C170" s="13"/>
      <c r="D170" s="27"/>
      <c r="E170" s="10" t="s">
        <v>31</v>
      </c>
      <c r="F170" s="15">
        <f>35789.97-35789.97</f>
        <v>0</v>
      </c>
      <c r="G170" s="10"/>
      <c r="H170" s="10">
        <v>1200</v>
      </c>
      <c r="I170" s="10"/>
      <c r="J170" s="10"/>
      <c r="K170" s="17">
        <v>6184.09</v>
      </c>
      <c r="L170" s="10"/>
      <c r="M170" s="10"/>
      <c r="N170" s="17">
        <v>420.54</v>
      </c>
      <c r="O170" s="17">
        <v>3105.67</v>
      </c>
      <c r="P170" s="10"/>
      <c r="Q170" s="29">
        <f t="shared" si="54"/>
        <v>10910.3</v>
      </c>
    </row>
    <row r="171" spans="1:17" ht="12">
      <c r="A171" s="11"/>
      <c r="B171" s="12"/>
      <c r="C171" s="13"/>
      <c r="D171" s="27"/>
      <c r="E171" s="14" t="s">
        <v>32</v>
      </c>
      <c r="F171" s="14">
        <f aca="true" t="shared" si="57" ref="F171:P171">SUM(F168:F170)</f>
        <v>129257.85999999999</v>
      </c>
      <c r="G171" s="14">
        <f t="shared" si="57"/>
        <v>0</v>
      </c>
      <c r="H171" s="14">
        <f t="shared" si="57"/>
        <v>4680</v>
      </c>
      <c r="I171" s="14">
        <f t="shared" si="57"/>
        <v>0</v>
      </c>
      <c r="J171" s="14">
        <f t="shared" si="57"/>
        <v>0</v>
      </c>
      <c r="K171" s="14">
        <f t="shared" si="57"/>
        <v>44468.3</v>
      </c>
      <c r="L171" s="14">
        <f t="shared" si="57"/>
        <v>0</v>
      </c>
      <c r="M171" s="14">
        <f t="shared" si="57"/>
        <v>0</v>
      </c>
      <c r="N171" s="14">
        <f t="shared" si="57"/>
        <v>420.54</v>
      </c>
      <c r="O171" s="14">
        <f t="shared" si="57"/>
        <v>3105.67</v>
      </c>
      <c r="P171" s="14">
        <f t="shared" si="57"/>
        <v>0</v>
      </c>
      <c r="Q171" s="55">
        <f t="shared" si="54"/>
        <v>181932.37</v>
      </c>
    </row>
    <row r="172" spans="1:17" ht="12.75">
      <c r="A172" s="11"/>
      <c r="B172" s="12"/>
      <c r="C172" s="13"/>
      <c r="D172" s="27"/>
      <c r="E172" s="10" t="s">
        <v>33</v>
      </c>
      <c r="F172" s="15">
        <f>35789.97+37355.81</f>
        <v>73145.78</v>
      </c>
      <c r="G172" s="10"/>
      <c r="H172" s="10">
        <v>1320</v>
      </c>
      <c r="I172" s="10"/>
      <c r="J172" s="10"/>
      <c r="K172" s="10">
        <v>23411.36</v>
      </c>
      <c r="L172" s="10"/>
      <c r="M172" s="10"/>
      <c r="N172" s="17">
        <v>420.54</v>
      </c>
      <c r="O172" s="10"/>
      <c r="P172" s="10"/>
      <c r="Q172" s="29">
        <f t="shared" si="54"/>
        <v>98297.68</v>
      </c>
    </row>
    <row r="173" spans="1:17" ht="12.75">
      <c r="A173" s="11"/>
      <c r="B173" s="12"/>
      <c r="C173" s="13"/>
      <c r="D173" s="27"/>
      <c r="E173" s="10" t="s">
        <v>34</v>
      </c>
      <c r="F173" s="10">
        <v>50282.04</v>
      </c>
      <c r="G173" s="10"/>
      <c r="H173" s="10">
        <v>2280</v>
      </c>
      <c r="I173" s="10"/>
      <c r="J173" s="10"/>
      <c r="K173" s="10">
        <v>21186.92</v>
      </c>
      <c r="L173" s="10"/>
      <c r="M173" s="10"/>
      <c r="N173" s="17">
        <v>420.54</v>
      </c>
      <c r="O173" s="10"/>
      <c r="P173" s="10"/>
      <c r="Q173" s="29">
        <f t="shared" si="54"/>
        <v>74169.49999999999</v>
      </c>
    </row>
    <row r="174" spans="1:17" ht="12.75">
      <c r="A174" s="11"/>
      <c r="B174" s="12"/>
      <c r="C174" s="13"/>
      <c r="D174" s="27"/>
      <c r="E174" s="10" t="s">
        <v>35</v>
      </c>
      <c r="F174" s="10">
        <v>38877.32</v>
      </c>
      <c r="G174" s="10"/>
      <c r="H174" s="10">
        <v>1320</v>
      </c>
      <c r="I174" s="10"/>
      <c r="J174" s="10"/>
      <c r="K174" s="10"/>
      <c r="L174" s="10"/>
      <c r="M174" s="10"/>
      <c r="N174" s="18">
        <v>420.54</v>
      </c>
      <c r="O174" s="10"/>
      <c r="P174" s="10"/>
      <c r="Q174" s="29">
        <f t="shared" si="54"/>
        <v>40617.86</v>
      </c>
    </row>
    <row r="175" spans="1:17" ht="12">
      <c r="A175" s="11"/>
      <c r="B175" s="12"/>
      <c r="C175" s="13"/>
      <c r="D175" s="27"/>
      <c r="E175" s="14" t="s">
        <v>36</v>
      </c>
      <c r="F175" s="14">
        <f aca="true" t="shared" si="58" ref="F175:P175">SUM(F172:F174)</f>
        <v>162305.14</v>
      </c>
      <c r="G175" s="14">
        <f t="shared" si="58"/>
        <v>0</v>
      </c>
      <c r="H175" s="14">
        <f t="shared" si="58"/>
        <v>4920</v>
      </c>
      <c r="I175" s="14">
        <f t="shared" si="58"/>
        <v>0</v>
      </c>
      <c r="J175" s="14">
        <f t="shared" si="58"/>
        <v>0</v>
      </c>
      <c r="K175" s="14">
        <f t="shared" si="58"/>
        <v>44598.28</v>
      </c>
      <c r="L175" s="14">
        <f t="shared" si="58"/>
        <v>0</v>
      </c>
      <c r="M175" s="14">
        <f t="shared" si="58"/>
        <v>0</v>
      </c>
      <c r="N175" s="14">
        <f t="shared" si="58"/>
        <v>1261.6200000000001</v>
      </c>
      <c r="O175" s="14">
        <f t="shared" si="58"/>
        <v>0</v>
      </c>
      <c r="P175" s="14">
        <f t="shared" si="58"/>
        <v>0</v>
      </c>
      <c r="Q175" s="55">
        <f t="shared" si="54"/>
        <v>213085.04</v>
      </c>
    </row>
    <row r="176" spans="1:17" ht="12.75" thickBot="1">
      <c r="A176" s="11"/>
      <c r="B176" s="12"/>
      <c r="C176" s="13"/>
      <c r="D176" s="27"/>
      <c r="E176" s="22" t="s">
        <v>37</v>
      </c>
      <c r="F176" s="22">
        <f aca="true" t="shared" si="59" ref="F176:Q176">F163+F167+F171+F175</f>
        <v>474174.02999999997</v>
      </c>
      <c r="G176" s="22">
        <f t="shared" si="59"/>
        <v>0</v>
      </c>
      <c r="H176" s="22">
        <f t="shared" si="59"/>
        <v>18840</v>
      </c>
      <c r="I176" s="22">
        <f t="shared" si="59"/>
        <v>0</v>
      </c>
      <c r="J176" s="22">
        <f t="shared" si="59"/>
        <v>420</v>
      </c>
      <c r="K176" s="22">
        <f t="shared" si="59"/>
        <v>179085.02</v>
      </c>
      <c r="L176" s="22">
        <f t="shared" si="59"/>
        <v>0</v>
      </c>
      <c r="M176" s="22">
        <f t="shared" si="59"/>
        <v>0</v>
      </c>
      <c r="N176" s="22">
        <f t="shared" si="59"/>
        <v>1682.16</v>
      </c>
      <c r="O176" s="22">
        <f t="shared" si="59"/>
        <v>13112.72</v>
      </c>
      <c r="P176" s="22">
        <f t="shared" si="59"/>
        <v>0</v>
      </c>
      <c r="Q176" s="23">
        <f t="shared" si="59"/>
        <v>687313.9299999999</v>
      </c>
    </row>
    <row r="177" spans="1:17" ht="12">
      <c r="A177" s="11">
        <v>11</v>
      </c>
      <c r="B177" s="12">
        <v>81</v>
      </c>
      <c r="C177" s="13" t="s">
        <v>56</v>
      </c>
      <c r="D177" s="27" t="s">
        <v>57</v>
      </c>
      <c r="E177" s="10" t="s">
        <v>21</v>
      </c>
      <c r="F177" s="10">
        <v>348520.95</v>
      </c>
      <c r="G177" s="10">
        <v>344759.78</v>
      </c>
      <c r="H177" s="10">
        <v>45720</v>
      </c>
      <c r="I177" s="10">
        <v>25082.8</v>
      </c>
      <c r="J177" s="10">
        <v>3720</v>
      </c>
      <c r="K177" s="10">
        <v>48517.79</v>
      </c>
      <c r="L177" s="10">
        <v>86594.29</v>
      </c>
      <c r="M177" s="10"/>
      <c r="N177" s="10">
        <v>841.08</v>
      </c>
      <c r="O177" s="10">
        <v>11407.62</v>
      </c>
      <c r="P177" s="10"/>
      <c r="Q177" s="29">
        <f aca="true" t="shared" si="60" ref="Q177:Q192">SUM(F177:P177)</f>
        <v>915164.31</v>
      </c>
    </row>
    <row r="178" spans="1:17" ht="12">
      <c r="A178" s="11"/>
      <c r="B178" s="12"/>
      <c r="C178" s="13"/>
      <c r="D178" s="27"/>
      <c r="E178" s="10" t="s">
        <v>22</v>
      </c>
      <c r="F178" s="10">
        <v>455708.85</v>
      </c>
      <c r="G178" s="10"/>
      <c r="H178" s="10">
        <v>63144</v>
      </c>
      <c r="I178" s="10"/>
      <c r="J178" s="10">
        <v>2940</v>
      </c>
      <c r="K178" s="10">
        <v>49378.99</v>
      </c>
      <c r="L178" s="10"/>
      <c r="M178" s="15">
        <f>7729.2-601</f>
        <v>7128.2</v>
      </c>
      <c r="N178" s="10">
        <v>1261.62</v>
      </c>
      <c r="O178" s="10">
        <v>14176.47</v>
      </c>
      <c r="P178" s="10">
        <v>14853.26</v>
      </c>
      <c r="Q178" s="29">
        <f t="shared" si="60"/>
        <v>608591.3899999999</v>
      </c>
    </row>
    <row r="179" spans="1:17" ht="12">
      <c r="A179" s="11"/>
      <c r="B179" s="12"/>
      <c r="C179" s="13"/>
      <c r="D179" s="27"/>
      <c r="E179" s="10" t="s">
        <v>23</v>
      </c>
      <c r="F179" s="15">
        <f>453164.58-453164.58</f>
        <v>0</v>
      </c>
      <c r="G179" s="10"/>
      <c r="H179" s="15">
        <f>59760-56935.6</f>
        <v>2824.4000000000015</v>
      </c>
      <c r="I179" s="10"/>
      <c r="J179" s="10">
        <v>1200</v>
      </c>
      <c r="K179" s="10">
        <v>59237.74</v>
      </c>
      <c r="L179" s="10"/>
      <c r="M179" s="10"/>
      <c r="N179" s="10">
        <v>2102.7</v>
      </c>
      <c r="O179" s="10">
        <v>5525.22</v>
      </c>
      <c r="P179" s="10">
        <v>14853.26</v>
      </c>
      <c r="Q179" s="29">
        <f t="shared" si="60"/>
        <v>85743.31999999999</v>
      </c>
    </row>
    <row r="180" spans="1:17" ht="12">
      <c r="A180" s="11"/>
      <c r="B180" s="12"/>
      <c r="C180" s="13"/>
      <c r="D180" s="27"/>
      <c r="E180" s="14" t="s">
        <v>24</v>
      </c>
      <c r="F180" s="14">
        <f aca="true" t="shared" si="61" ref="F180:P180">SUM(F177:F179)</f>
        <v>804229.8</v>
      </c>
      <c r="G180" s="14">
        <f t="shared" si="61"/>
        <v>344759.78</v>
      </c>
      <c r="H180" s="14">
        <f t="shared" si="61"/>
        <v>111688.4</v>
      </c>
      <c r="I180" s="14">
        <f t="shared" si="61"/>
        <v>25082.8</v>
      </c>
      <c r="J180" s="14">
        <f t="shared" si="61"/>
        <v>7860</v>
      </c>
      <c r="K180" s="14">
        <f t="shared" si="61"/>
        <v>157134.52</v>
      </c>
      <c r="L180" s="14">
        <f t="shared" si="61"/>
        <v>86594.29</v>
      </c>
      <c r="M180" s="14">
        <f t="shared" si="61"/>
        <v>7128.2</v>
      </c>
      <c r="N180" s="14">
        <f t="shared" si="61"/>
        <v>4205.4</v>
      </c>
      <c r="O180" s="14">
        <f t="shared" si="61"/>
        <v>31109.31</v>
      </c>
      <c r="P180" s="14">
        <f t="shared" si="61"/>
        <v>29706.52</v>
      </c>
      <c r="Q180" s="55">
        <f t="shared" si="60"/>
        <v>1609499.02</v>
      </c>
    </row>
    <row r="181" spans="1:17" ht="12">
      <c r="A181" s="11"/>
      <c r="B181" s="12"/>
      <c r="C181" s="13"/>
      <c r="D181" s="27"/>
      <c r="E181" s="10" t="s">
        <v>25</v>
      </c>
      <c r="F181" s="10">
        <f>453164.58+295705.93</f>
        <v>748870.51</v>
      </c>
      <c r="G181" s="10"/>
      <c r="H181" s="10">
        <f>56935.6+36708</f>
        <v>93643.6</v>
      </c>
      <c r="I181" s="10"/>
      <c r="J181" s="10">
        <v>2880</v>
      </c>
      <c r="K181" s="10">
        <v>30000.79</v>
      </c>
      <c r="L181" s="10"/>
      <c r="M181" s="10">
        <v>601</v>
      </c>
      <c r="N181" s="10">
        <v>2102.7</v>
      </c>
      <c r="O181" s="10">
        <v>13244.37</v>
      </c>
      <c r="P181" s="10">
        <v>29706.52</v>
      </c>
      <c r="Q181" s="29">
        <f t="shared" si="60"/>
        <v>921049.49</v>
      </c>
    </row>
    <row r="182" spans="1:17" ht="12">
      <c r="A182" s="11"/>
      <c r="B182" s="12"/>
      <c r="C182" s="13"/>
      <c r="D182" s="27"/>
      <c r="E182" s="10" t="s">
        <v>26</v>
      </c>
      <c r="F182" s="10">
        <v>425001.85</v>
      </c>
      <c r="G182" s="10"/>
      <c r="H182" s="10">
        <v>56520</v>
      </c>
      <c r="I182" s="10"/>
      <c r="J182" s="10">
        <v>4020</v>
      </c>
      <c r="K182" s="10">
        <v>67964.28</v>
      </c>
      <c r="L182" s="10"/>
      <c r="M182" s="10">
        <v>8107.65</v>
      </c>
      <c r="N182" s="10">
        <v>1682.16</v>
      </c>
      <c r="O182" s="10">
        <v>16895.46</v>
      </c>
      <c r="P182" s="10">
        <v>28279.59</v>
      </c>
      <c r="Q182" s="29">
        <f t="shared" si="60"/>
        <v>608470.99</v>
      </c>
    </row>
    <row r="183" spans="1:17" ht="12">
      <c r="A183" s="11"/>
      <c r="B183" s="12"/>
      <c r="C183" s="13"/>
      <c r="D183" s="27"/>
      <c r="E183" s="10" t="s">
        <v>27</v>
      </c>
      <c r="F183" s="15">
        <f>384661.76-384661.76</f>
        <v>0</v>
      </c>
      <c r="G183" s="10"/>
      <c r="H183" s="15">
        <f>48360-48360</f>
        <v>0</v>
      </c>
      <c r="I183" s="10"/>
      <c r="J183" s="10">
        <v>1680</v>
      </c>
      <c r="K183" s="10">
        <v>65477</v>
      </c>
      <c r="L183" s="10"/>
      <c r="M183" s="10"/>
      <c r="N183" s="15">
        <f>2102.7-800.7</f>
        <v>1301.9999999999998</v>
      </c>
      <c r="O183" s="10">
        <v>2463.86</v>
      </c>
      <c r="P183" s="10">
        <v>56559.18</v>
      </c>
      <c r="Q183" s="29">
        <f t="shared" si="60"/>
        <v>127482.04000000001</v>
      </c>
    </row>
    <row r="184" spans="1:17" ht="12">
      <c r="A184" s="11"/>
      <c r="B184" s="12"/>
      <c r="C184" s="13"/>
      <c r="D184" s="27"/>
      <c r="E184" s="14" t="s">
        <v>28</v>
      </c>
      <c r="F184" s="14">
        <f aca="true" t="shared" si="62" ref="F184:P184">SUM(F181:F183)</f>
        <v>1173872.3599999999</v>
      </c>
      <c r="G184" s="14">
        <f t="shared" si="62"/>
        <v>0</v>
      </c>
      <c r="H184" s="14">
        <f t="shared" si="62"/>
        <v>150163.6</v>
      </c>
      <c r="I184" s="14">
        <f t="shared" si="62"/>
        <v>0</v>
      </c>
      <c r="J184" s="14">
        <f t="shared" si="62"/>
        <v>8580</v>
      </c>
      <c r="K184" s="14">
        <f t="shared" si="62"/>
        <v>163442.07</v>
      </c>
      <c r="L184" s="14">
        <f t="shared" si="62"/>
        <v>0</v>
      </c>
      <c r="M184" s="14">
        <f t="shared" si="62"/>
        <v>8708.65</v>
      </c>
      <c r="N184" s="14">
        <f t="shared" si="62"/>
        <v>5086.86</v>
      </c>
      <c r="O184" s="14">
        <f t="shared" si="62"/>
        <v>32603.690000000002</v>
      </c>
      <c r="P184" s="14">
        <f t="shared" si="62"/>
        <v>114545.29000000001</v>
      </c>
      <c r="Q184" s="55">
        <f t="shared" si="60"/>
        <v>1657002.52</v>
      </c>
    </row>
    <row r="185" spans="1:17" ht="12">
      <c r="A185" s="11"/>
      <c r="B185" s="12"/>
      <c r="C185" s="13"/>
      <c r="D185" s="27"/>
      <c r="E185" s="10" t="s">
        <v>29</v>
      </c>
      <c r="F185" s="15">
        <f>384661.76+342949.47</f>
        <v>727611.23</v>
      </c>
      <c r="G185" s="10"/>
      <c r="H185" s="15">
        <f>48360+42360</f>
        <v>90720</v>
      </c>
      <c r="I185" s="10"/>
      <c r="J185" s="10">
        <v>3480</v>
      </c>
      <c r="K185" s="10">
        <v>49459.84</v>
      </c>
      <c r="L185" s="10"/>
      <c r="M185" s="16">
        <v>8107.65</v>
      </c>
      <c r="N185" s="15">
        <f>2943.78+800.7</f>
        <v>3744.4800000000005</v>
      </c>
      <c r="O185" s="10">
        <v>11418.59</v>
      </c>
      <c r="P185" s="10">
        <v>65034.42</v>
      </c>
      <c r="Q185" s="29">
        <f t="shared" si="60"/>
        <v>959576.21</v>
      </c>
    </row>
    <row r="186" spans="1:17" ht="12">
      <c r="A186" s="11"/>
      <c r="B186" s="12"/>
      <c r="C186" s="13"/>
      <c r="D186" s="27"/>
      <c r="E186" s="10" t="s">
        <v>30</v>
      </c>
      <c r="F186" s="10">
        <v>392187.95</v>
      </c>
      <c r="G186" s="10"/>
      <c r="H186" s="10">
        <v>52800</v>
      </c>
      <c r="I186" s="10"/>
      <c r="J186" s="10">
        <v>4020</v>
      </c>
      <c r="K186" s="10">
        <v>43192.02</v>
      </c>
      <c r="L186" s="10"/>
      <c r="M186" s="10"/>
      <c r="N186" s="10">
        <v>2523.24</v>
      </c>
      <c r="O186" s="10">
        <v>13565.11</v>
      </c>
      <c r="P186" s="10">
        <v>40278.99</v>
      </c>
      <c r="Q186" s="29">
        <f t="shared" si="60"/>
        <v>548567.31</v>
      </c>
    </row>
    <row r="187" spans="1:17" ht="12">
      <c r="A187" s="11"/>
      <c r="B187" s="12"/>
      <c r="C187" s="13"/>
      <c r="D187" s="27"/>
      <c r="E187" s="10" t="s">
        <v>31</v>
      </c>
      <c r="F187" s="15">
        <f>399773.02-399773.02</f>
        <v>0</v>
      </c>
      <c r="G187" s="10"/>
      <c r="H187" s="15">
        <f>49800-49800</f>
        <v>0</v>
      </c>
      <c r="I187" s="10"/>
      <c r="J187" s="10">
        <v>1680</v>
      </c>
      <c r="K187" s="10">
        <v>94831.44</v>
      </c>
      <c r="L187" s="10"/>
      <c r="M187" s="10"/>
      <c r="N187" s="10">
        <v>3364.32</v>
      </c>
      <c r="O187" s="10">
        <v>3579.0699999999997</v>
      </c>
      <c r="P187" s="10">
        <v>41705.92</v>
      </c>
      <c r="Q187" s="29">
        <f t="shared" si="60"/>
        <v>145160.75</v>
      </c>
    </row>
    <row r="188" spans="1:17" ht="12">
      <c r="A188" s="11"/>
      <c r="B188" s="12"/>
      <c r="C188" s="13"/>
      <c r="D188" s="27"/>
      <c r="E188" s="14" t="s">
        <v>32</v>
      </c>
      <c r="F188" s="14">
        <f aca="true" t="shared" si="63" ref="F188:P188">SUM(F185:F187)</f>
        <v>1119799.18</v>
      </c>
      <c r="G188" s="14">
        <f t="shared" si="63"/>
        <v>0</v>
      </c>
      <c r="H188" s="14">
        <f t="shared" si="63"/>
        <v>143520</v>
      </c>
      <c r="I188" s="14">
        <f t="shared" si="63"/>
        <v>0</v>
      </c>
      <c r="J188" s="14">
        <f t="shared" si="63"/>
        <v>9180</v>
      </c>
      <c r="K188" s="14">
        <f t="shared" si="63"/>
        <v>187483.3</v>
      </c>
      <c r="L188" s="14">
        <f t="shared" si="63"/>
        <v>0</v>
      </c>
      <c r="M188" s="14">
        <f t="shared" si="63"/>
        <v>8107.65</v>
      </c>
      <c r="N188" s="14">
        <f t="shared" si="63"/>
        <v>9632.04</v>
      </c>
      <c r="O188" s="14">
        <f t="shared" si="63"/>
        <v>28562.77</v>
      </c>
      <c r="P188" s="14">
        <f t="shared" si="63"/>
        <v>147019.33000000002</v>
      </c>
      <c r="Q188" s="55">
        <f t="shared" si="60"/>
        <v>1653304.27</v>
      </c>
    </row>
    <row r="189" spans="1:17" ht="12.75">
      <c r="A189" s="11"/>
      <c r="B189" s="12"/>
      <c r="C189" s="13"/>
      <c r="D189" s="27"/>
      <c r="E189" s="10" t="s">
        <v>33</v>
      </c>
      <c r="F189" s="15">
        <f>399773.02+354520.96</f>
        <v>754293.98</v>
      </c>
      <c r="G189" s="10"/>
      <c r="H189" s="15">
        <f>49800+43800</f>
        <v>93600</v>
      </c>
      <c r="I189" s="10"/>
      <c r="J189" s="10">
        <v>3840</v>
      </c>
      <c r="K189" s="10">
        <v>81500.08</v>
      </c>
      <c r="L189" s="10"/>
      <c r="M189" s="10"/>
      <c r="N189" s="10">
        <v>2943.78</v>
      </c>
      <c r="O189" s="10">
        <v>11311.57</v>
      </c>
      <c r="P189" s="17">
        <v>28279.59</v>
      </c>
      <c r="Q189" s="29">
        <f t="shared" si="60"/>
        <v>975768.9999999999</v>
      </c>
    </row>
    <row r="190" spans="1:17" ht="12.75">
      <c r="A190" s="11"/>
      <c r="B190" s="12"/>
      <c r="C190" s="13"/>
      <c r="D190" s="27"/>
      <c r="E190" s="10" t="s">
        <v>34</v>
      </c>
      <c r="F190" s="10">
        <v>421501.79</v>
      </c>
      <c r="G190" s="10"/>
      <c r="H190" s="10">
        <v>53760</v>
      </c>
      <c r="I190" s="10"/>
      <c r="J190" s="10">
        <v>4020</v>
      </c>
      <c r="K190" s="15">
        <f>66885.94-66356.69</f>
        <v>529.25</v>
      </c>
      <c r="L190" s="10"/>
      <c r="M190" s="17">
        <v>8107.65</v>
      </c>
      <c r="N190" s="10">
        <v>2943.78</v>
      </c>
      <c r="O190" s="10">
        <v>10841.34</v>
      </c>
      <c r="P190" s="10">
        <v>41705.92</v>
      </c>
      <c r="Q190" s="29">
        <f t="shared" si="60"/>
        <v>543409.7300000001</v>
      </c>
    </row>
    <row r="191" spans="1:17" ht="12.75">
      <c r="A191" s="11"/>
      <c r="B191" s="12"/>
      <c r="C191" s="13"/>
      <c r="D191" s="27"/>
      <c r="E191" s="10" t="s">
        <v>35</v>
      </c>
      <c r="F191" s="15">
        <f>411377.26-355332.45</f>
        <v>56044.81</v>
      </c>
      <c r="G191" s="10"/>
      <c r="H191" s="15">
        <f>52320-24703.2</f>
        <v>27616.8</v>
      </c>
      <c r="I191" s="10"/>
      <c r="J191" s="15">
        <f>1260-1260</f>
        <v>0</v>
      </c>
      <c r="K191" s="10"/>
      <c r="L191" s="10"/>
      <c r="M191" s="10"/>
      <c r="N191" s="10">
        <v>3784.86</v>
      </c>
      <c r="O191" s="18">
        <v>1149.04</v>
      </c>
      <c r="P191" s="18">
        <v>28279.59</v>
      </c>
      <c r="Q191" s="29">
        <f t="shared" si="60"/>
        <v>116875.09999999999</v>
      </c>
    </row>
    <row r="192" spans="1:17" ht="12">
      <c r="A192" s="11"/>
      <c r="B192" s="12"/>
      <c r="C192" s="13"/>
      <c r="D192" s="27"/>
      <c r="E192" s="14" t="s">
        <v>36</v>
      </c>
      <c r="F192" s="14">
        <f aca="true" t="shared" si="64" ref="F192:P192">SUM(F189:F191)</f>
        <v>1231840.58</v>
      </c>
      <c r="G192" s="14">
        <f t="shared" si="64"/>
        <v>0</v>
      </c>
      <c r="H192" s="14">
        <f t="shared" si="64"/>
        <v>174976.8</v>
      </c>
      <c r="I192" s="14">
        <f t="shared" si="64"/>
        <v>0</v>
      </c>
      <c r="J192" s="14">
        <f t="shared" si="64"/>
        <v>7860</v>
      </c>
      <c r="K192" s="14">
        <f t="shared" si="64"/>
        <v>82029.33</v>
      </c>
      <c r="L192" s="14">
        <f t="shared" si="64"/>
        <v>0</v>
      </c>
      <c r="M192" s="14">
        <f t="shared" si="64"/>
        <v>8107.65</v>
      </c>
      <c r="N192" s="14">
        <f t="shared" si="64"/>
        <v>9672.42</v>
      </c>
      <c r="O192" s="14">
        <f t="shared" si="64"/>
        <v>23301.95</v>
      </c>
      <c r="P192" s="14">
        <f t="shared" si="64"/>
        <v>98265.09999999999</v>
      </c>
      <c r="Q192" s="55">
        <f t="shared" si="60"/>
        <v>1636053.83</v>
      </c>
    </row>
    <row r="193" spans="1:17" ht="12.75" thickBot="1">
      <c r="A193" s="11"/>
      <c r="B193" s="12"/>
      <c r="C193" s="13"/>
      <c r="D193" s="27"/>
      <c r="E193" s="22" t="s">
        <v>37</v>
      </c>
      <c r="F193" s="22">
        <f aca="true" t="shared" si="65" ref="F193:Q193">F180+F184+F188+F192</f>
        <v>4329741.92</v>
      </c>
      <c r="G193" s="22">
        <f t="shared" si="65"/>
        <v>344759.78</v>
      </c>
      <c r="H193" s="22">
        <f t="shared" si="65"/>
        <v>580348.8</v>
      </c>
      <c r="I193" s="22">
        <f t="shared" si="65"/>
        <v>25082.8</v>
      </c>
      <c r="J193" s="22">
        <f t="shared" si="65"/>
        <v>33480</v>
      </c>
      <c r="K193" s="22">
        <f t="shared" si="65"/>
        <v>590089.22</v>
      </c>
      <c r="L193" s="22">
        <f t="shared" si="65"/>
        <v>86594.29</v>
      </c>
      <c r="M193" s="22">
        <f t="shared" si="65"/>
        <v>32052.15</v>
      </c>
      <c r="N193" s="22">
        <f t="shared" si="65"/>
        <v>28596.72</v>
      </c>
      <c r="O193" s="22">
        <f t="shared" si="65"/>
        <v>115577.72</v>
      </c>
      <c r="P193" s="22">
        <f t="shared" si="65"/>
        <v>389536.24</v>
      </c>
      <c r="Q193" s="23">
        <f t="shared" si="65"/>
        <v>6555859.640000001</v>
      </c>
    </row>
    <row r="194" spans="1:17" ht="12">
      <c r="A194" s="11">
        <v>12</v>
      </c>
      <c r="B194" s="12">
        <v>37</v>
      </c>
      <c r="C194" s="13" t="s">
        <v>58</v>
      </c>
      <c r="D194" s="27" t="s">
        <v>59</v>
      </c>
      <c r="E194" s="10" t="s">
        <v>21</v>
      </c>
      <c r="F194" s="10">
        <v>17710.34</v>
      </c>
      <c r="G194" s="10"/>
      <c r="H194" s="10">
        <v>960</v>
      </c>
      <c r="I194" s="10"/>
      <c r="J194" s="10"/>
      <c r="K194" s="10">
        <v>4671.45</v>
      </c>
      <c r="L194" s="10"/>
      <c r="M194" s="10"/>
      <c r="N194" s="10">
        <v>841.06</v>
      </c>
      <c r="O194" s="10">
        <v>2052.72</v>
      </c>
      <c r="P194" s="10"/>
      <c r="Q194" s="29">
        <f aca="true" t="shared" si="66" ref="Q194:Q209">SUM(F194:P194)</f>
        <v>26235.570000000003</v>
      </c>
    </row>
    <row r="195" spans="1:17" ht="12">
      <c r="A195" s="11"/>
      <c r="B195" s="12"/>
      <c r="C195" s="13"/>
      <c r="D195" s="27"/>
      <c r="E195" s="10" t="s">
        <v>22</v>
      </c>
      <c r="F195" s="10">
        <v>33551.74</v>
      </c>
      <c r="G195" s="10"/>
      <c r="H195" s="10">
        <v>2040</v>
      </c>
      <c r="I195" s="10"/>
      <c r="J195" s="10"/>
      <c r="K195" s="10">
        <v>7654.76</v>
      </c>
      <c r="L195" s="10"/>
      <c r="M195" s="10"/>
      <c r="N195" s="10">
        <v>841.06</v>
      </c>
      <c r="O195" s="10"/>
      <c r="P195" s="10"/>
      <c r="Q195" s="29">
        <f t="shared" si="66"/>
        <v>44087.56</v>
      </c>
    </row>
    <row r="196" spans="1:17" ht="12">
      <c r="A196" s="11"/>
      <c r="B196" s="12"/>
      <c r="C196" s="13"/>
      <c r="D196" s="27"/>
      <c r="E196" s="10" t="s">
        <v>23</v>
      </c>
      <c r="F196" s="10">
        <v>41111.85</v>
      </c>
      <c r="G196" s="10"/>
      <c r="H196" s="10">
        <v>2040</v>
      </c>
      <c r="I196" s="10"/>
      <c r="J196" s="10"/>
      <c r="K196" s="10">
        <v>21852.59</v>
      </c>
      <c r="L196" s="10"/>
      <c r="M196" s="10"/>
      <c r="N196" s="10"/>
      <c r="O196" s="10"/>
      <c r="P196" s="10"/>
      <c r="Q196" s="29">
        <f t="shared" si="66"/>
        <v>65004.44</v>
      </c>
    </row>
    <row r="197" spans="1:17" ht="12">
      <c r="A197" s="11"/>
      <c r="B197" s="12"/>
      <c r="C197" s="13"/>
      <c r="D197" s="27"/>
      <c r="E197" s="14" t="s">
        <v>24</v>
      </c>
      <c r="F197" s="14">
        <f aca="true" t="shared" si="67" ref="F197:P197">SUM(F194:F196)</f>
        <v>92373.93</v>
      </c>
      <c r="G197" s="14">
        <f t="shared" si="67"/>
        <v>0</v>
      </c>
      <c r="H197" s="14">
        <f t="shared" si="67"/>
        <v>5040</v>
      </c>
      <c r="I197" s="14">
        <f t="shared" si="67"/>
        <v>0</v>
      </c>
      <c r="J197" s="14">
        <f t="shared" si="67"/>
        <v>0</v>
      </c>
      <c r="K197" s="14">
        <f t="shared" si="67"/>
        <v>34178.8</v>
      </c>
      <c r="L197" s="14">
        <f t="shared" si="67"/>
        <v>0</v>
      </c>
      <c r="M197" s="14">
        <f t="shared" si="67"/>
        <v>0</v>
      </c>
      <c r="N197" s="14">
        <f t="shared" si="67"/>
        <v>1682.12</v>
      </c>
      <c r="O197" s="14">
        <f t="shared" si="67"/>
        <v>2052.72</v>
      </c>
      <c r="P197" s="14">
        <f t="shared" si="67"/>
        <v>0</v>
      </c>
      <c r="Q197" s="55">
        <f t="shared" si="66"/>
        <v>135327.56999999998</v>
      </c>
    </row>
    <row r="198" spans="1:17" ht="12">
      <c r="A198" s="11"/>
      <c r="B198" s="12"/>
      <c r="C198" s="13"/>
      <c r="D198" s="27"/>
      <c r="E198" s="10" t="s">
        <v>25</v>
      </c>
      <c r="F198" s="10">
        <v>25828.82</v>
      </c>
      <c r="G198" s="10"/>
      <c r="H198" s="10">
        <v>1320</v>
      </c>
      <c r="I198" s="10"/>
      <c r="J198" s="10"/>
      <c r="K198" s="10">
        <v>18379.26</v>
      </c>
      <c r="L198" s="10"/>
      <c r="M198" s="10"/>
      <c r="N198" s="10"/>
      <c r="O198" s="10"/>
      <c r="P198" s="10"/>
      <c r="Q198" s="29">
        <f t="shared" si="66"/>
        <v>45528.08</v>
      </c>
    </row>
    <row r="199" spans="1:17" ht="12">
      <c r="A199" s="11"/>
      <c r="B199" s="12"/>
      <c r="C199" s="13"/>
      <c r="D199" s="27"/>
      <c r="E199" s="10" t="s">
        <v>26</v>
      </c>
      <c r="F199" s="10">
        <v>49905.91</v>
      </c>
      <c r="G199" s="10"/>
      <c r="H199" s="10">
        <v>2160</v>
      </c>
      <c r="I199" s="10"/>
      <c r="J199" s="10"/>
      <c r="K199" s="10">
        <v>18698.99</v>
      </c>
      <c r="L199" s="10"/>
      <c r="M199" s="10"/>
      <c r="N199" s="10"/>
      <c r="O199" s="10">
        <v>2028.91</v>
      </c>
      <c r="P199" s="10"/>
      <c r="Q199" s="29">
        <f t="shared" si="66"/>
        <v>72793.81000000001</v>
      </c>
    </row>
    <row r="200" spans="1:17" ht="12">
      <c r="A200" s="11"/>
      <c r="B200" s="12"/>
      <c r="C200" s="13"/>
      <c r="D200" s="27"/>
      <c r="E200" s="10" t="s">
        <v>27</v>
      </c>
      <c r="F200" s="15">
        <f>42129.02-42129.02</f>
        <v>0</v>
      </c>
      <c r="G200" s="10"/>
      <c r="H200" s="10">
        <v>1920</v>
      </c>
      <c r="I200" s="10"/>
      <c r="J200" s="10"/>
      <c r="K200" s="10">
        <v>18927.99</v>
      </c>
      <c r="L200" s="10"/>
      <c r="M200" s="10"/>
      <c r="N200" s="10">
        <v>420.53</v>
      </c>
      <c r="O200" s="10"/>
      <c r="P200" s="10"/>
      <c r="Q200" s="29">
        <f t="shared" si="66"/>
        <v>21268.52</v>
      </c>
    </row>
    <row r="201" spans="1:17" ht="12">
      <c r="A201" s="11"/>
      <c r="B201" s="12"/>
      <c r="C201" s="13"/>
      <c r="D201" s="27"/>
      <c r="E201" s="14" t="s">
        <v>28</v>
      </c>
      <c r="F201" s="14">
        <f aca="true" t="shared" si="68" ref="F201:P201">SUM(F198:F200)</f>
        <v>75734.73000000001</v>
      </c>
      <c r="G201" s="14">
        <f t="shared" si="68"/>
        <v>0</v>
      </c>
      <c r="H201" s="14">
        <f t="shared" si="68"/>
        <v>5400</v>
      </c>
      <c r="I201" s="14">
        <f t="shared" si="68"/>
        <v>0</v>
      </c>
      <c r="J201" s="14">
        <f t="shared" si="68"/>
        <v>0</v>
      </c>
      <c r="K201" s="14">
        <f t="shared" si="68"/>
        <v>56006.240000000005</v>
      </c>
      <c r="L201" s="14">
        <f t="shared" si="68"/>
        <v>0</v>
      </c>
      <c r="M201" s="14">
        <f t="shared" si="68"/>
        <v>0</v>
      </c>
      <c r="N201" s="14">
        <f t="shared" si="68"/>
        <v>420.53</v>
      </c>
      <c r="O201" s="14">
        <f t="shared" si="68"/>
        <v>2028.91</v>
      </c>
      <c r="P201" s="14">
        <f t="shared" si="68"/>
        <v>0</v>
      </c>
      <c r="Q201" s="55">
        <f t="shared" si="66"/>
        <v>139590.41000000003</v>
      </c>
    </row>
    <row r="202" spans="1:17" ht="12">
      <c r="A202" s="11"/>
      <c r="B202" s="12"/>
      <c r="C202" s="13"/>
      <c r="D202" s="27"/>
      <c r="E202" s="10" t="s">
        <v>29</v>
      </c>
      <c r="F202" s="15">
        <f>42129.02+29109.35</f>
        <v>71238.37</v>
      </c>
      <c r="G202" s="10"/>
      <c r="H202" s="10">
        <v>1320</v>
      </c>
      <c r="I202" s="10"/>
      <c r="J202" s="16">
        <v>480</v>
      </c>
      <c r="K202" s="10">
        <v>28911.63</v>
      </c>
      <c r="L202" s="10"/>
      <c r="M202" s="10"/>
      <c r="N202" s="10"/>
      <c r="O202" s="16">
        <v>4445.92</v>
      </c>
      <c r="P202" s="10"/>
      <c r="Q202" s="29">
        <f t="shared" si="66"/>
        <v>106395.92</v>
      </c>
    </row>
    <row r="203" spans="1:17" ht="12.75">
      <c r="A203" s="11"/>
      <c r="B203" s="12"/>
      <c r="C203" s="13"/>
      <c r="D203" s="27"/>
      <c r="E203" s="10" t="s">
        <v>30</v>
      </c>
      <c r="F203" s="10">
        <v>44318.35</v>
      </c>
      <c r="G203" s="10"/>
      <c r="H203" s="10">
        <v>2280</v>
      </c>
      <c r="I203" s="10"/>
      <c r="J203" s="10"/>
      <c r="K203" s="10">
        <v>19012.23</v>
      </c>
      <c r="L203" s="10"/>
      <c r="M203" s="10"/>
      <c r="N203" s="17">
        <v>420.53</v>
      </c>
      <c r="O203" s="10"/>
      <c r="P203" s="10"/>
      <c r="Q203" s="29">
        <f t="shared" si="66"/>
        <v>66031.11</v>
      </c>
    </row>
    <row r="204" spans="1:17" ht="12">
      <c r="A204" s="11"/>
      <c r="B204" s="12"/>
      <c r="C204" s="13"/>
      <c r="D204" s="27"/>
      <c r="E204" s="10" t="s">
        <v>31</v>
      </c>
      <c r="F204" s="15">
        <f>47290.9-47290.9</f>
        <v>0</v>
      </c>
      <c r="G204" s="10"/>
      <c r="H204" s="10">
        <v>2640</v>
      </c>
      <c r="I204" s="10"/>
      <c r="J204" s="10"/>
      <c r="K204" s="10">
        <v>18122.44</v>
      </c>
      <c r="L204" s="10"/>
      <c r="M204" s="10"/>
      <c r="N204" s="10"/>
      <c r="O204" s="10"/>
      <c r="P204" s="10"/>
      <c r="Q204" s="29">
        <f t="shared" si="66"/>
        <v>20762.44</v>
      </c>
    </row>
    <row r="205" spans="1:17" ht="12">
      <c r="A205" s="11"/>
      <c r="B205" s="12"/>
      <c r="C205" s="13"/>
      <c r="D205" s="27"/>
      <c r="E205" s="14" t="s">
        <v>32</v>
      </c>
      <c r="F205" s="14">
        <f aca="true" t="shared" si="69" ref="F205:P205">SUM(F202:F204)</f>
        <v>115556.72</v>
      </c>
      <c r="G205" s="14">
        <f t="shared" si="69"/>
        <v>0</v>
      </c>
      <c r="H205" s="14">
        <f t="shared" si="69"/>
        <v>6240</v>
      </c>
      <c r="I205" s="14">
        <f t="shared" si="69"/>
        <v>0</v>
      </c>
      <c r="J205" s="14">
        <f t="shared" si="69"/>
        <v>480</v>
      </c>
      <c r="K205" s="14">
        <f t="shared" si="69"/>
        <v>66046.3</v>
      </c>
      <c r="L205" s="14">
        <f t="shared" si="69"/>
        <v>0</v>
      </c>
      <c r="M205" s="14">
        <f t="shared" si="69"/>
        <v>0</v>
      </c>
      <c r="N205" s="14">
        <f t="shared" si="69"/>
        <v>420.53</v>
      </c>
      <c r="O205" s="14">
        <f t="shared" si="69"/>
        <v>4445.92</v>
      </c>
      <c r="P205" s="14">
        <f t="shared" si="69"/>
        <v>0</v>
      </c>
      <c r="Q205" s="55">
        <f t="shared" si="66"/>
        <v>193189.47000000003</v>
      </c>
    </row>
    <row r="206" spans="1:17" ht="12.75">
      <c r="A206" s="11"/>
      <c r="B206" s="12"/>
      <c r="C206" s="13"/>
      <c r="D206" s="27"/>
      <c r="E206" s="10" t="s">
        <v>33</v>
      </c>
      <c r="F206" s="15">
        <f>47290.9+29014.79</f>
        <v>76305.69</v>
      </c>
      <c r="G206" s="10"/>
      <c r="H206" s="10">
        <v>1200</v>
      </c>
      <c r="I206" s="10"/>
      <c r="J206" s="10"/>
      <c r="K206" s="10">
        <v>19401.34</v>
      </c>
      <c r="L206" s="10"/>
      <c r="M206" s="10"/>
      <c r="N206" s="10"/>
      <c r="O206" s="17">
        <v>2416.46</v>
      </c>
      <c r="P206" s="10"/>
      <c r="Q206" s="29">
        <f t="shared" si="66"/>
        <v>99323.49</v>
      </c>
    </row>
    <row r="207" spans="1:17" ht="12">
      <c r="A207" s="11"/>
      <c r="B207" s="12"/>
      <c r="C207" s="13"/>
      <c r="D207" s="27"/>
      <c r="E207" s="10" t="s">
        <v>34</v>
      </c>
      <c r="F207" s="10">
        <v>45356.72</v>
      </c>
      <c r="G207" s="10"/>
      <c r="H207" s="10">
        <v>2280</v>
      </c>
      <c r="I207" s="10"/>
      <c r="J207" s="10"/>
      <c r="K207" s="10">
        <v>3268.68</v>
      </c>
      <c r="L207" s="10"/>
      <c r="M207" s="10"/>
      <c r="N207" s="10"/>
      <c r="O207" s="10"/>
      <c r="P207" s="10"/>
      <c r="Q207" s="29">
        <f t="shared" si="66"/>
        <v>50905.4</v>
      </c>
    </row>
    <row r="208" spans="1:17" ht="12">
      <c r="A208" s="11"/>
      <c r="B208" s="12"/>
      <c r="C208" s="13"/>
      <c r="D208" s="27"/>
      <c r="E208" s="10" t="s">
        <v>35</v>
      </c>
      <c r="F208" s="10">
        <v>51293.09</v>
      </c>
      <c r="G208" s="10"/>
      <c r="H208" s="10">
        <v>2880</v>
      </c>
      <c r="I208" s="10"/>
      <c r="J208" s="10"/>
      <c r="K208" s="10"/>
      <c r="L208" s="10"/>
      <c r="M208" s="10"/>
      <c r="N208" s="10"/>
      <c r="O208" s="10"/>
      <c r="P208" s="10"/>
      <c r="Q208" s="29">
        <f t="shared" si="66"/>
        <v>54173.09</v>
      </c>
    </row>
    <row r="209" spans="1:17" ht="12">
      <c r="A209" s="11"/>
      <c r="B209" s="12"/>
      <c r="C209" s="13"/>
      <c r="D209" s="27"/>
      <c r="E209" s="14" t="s">
        <v>36</v>
      </c>
      <c r="F209" s="14">
        <f aca="true" t="shared" si="70" ref="F209:P209">SUM(F206:F208)</f>
        <v>172955.5</v>
      </c>
      <c r="G209" s="14">
        <f t="shared" si="70"/>
        <v>0</v>
      </c>
      <c r="H209" s="14">
        <f t="shared" si="70"/>
        <v>6360</v>
      </c>
      <c r="I209" s="14">
        <f t="shared" si="70"/>
        <v>0</v>
      </c>
      <c r="J209" s="14">
        <f t="shared" si="70"/>
        <v>0</v>
      </c>
      <c r="K209" s="14">
        <f t="shared" si="70"/>
        <v>22670.02</v>
      </c>
      <c r="L209" s="14">
        <f t="shared" si="70"/>
        <v>0</v>
      </c>
      <c r="M209" s="14">
        <f t="shared" si="70"/>
        <v>0</v>
      </c>
      <c r="N209" s="14">
        <f t="shared" si="70"/>
        <v>0</v>
      </c>
      <c r="O209" s="14">
        <f t="shared" si="70"/>
        <v>2416.46</v>
      </c>
      <c r="P209" s="14">
        <f t="shared" si="70"/>
        <v>0</v>
      </c>
      <c r="Q209" s="55">
        <f t="shared" si="66"/>
        <v>204401.97999999998</v>
      </c>
    </row>
    <row r="210" spans="1:17" ht="12.75" thickBot="1">
      <c r="A210" s="11"/>
      <c r="B210" s="12"/>
      <c r="C210" s="13"/>
      <c r="D210" s="27"/>
      <c r="E210" s="22" t="s">
        <v>37</v>
      </c>
      <c r="F210" s="22">
        <f aca="true" t="shared" si="71" ref="F210:Q210">F197+F201+F205+F209</f>
        <v>456620.88</v>
      </c>
      <c r="G210" s="22">
        <f t="shared" si="71"/>
        <v>0</v>
      </c>
      <c r="H210" s="22">
        <f t="shared" si="71"/>
        <v>23040</v>
      </c>
      <c r="I210" s="22">
        <f t="shared" si="71"/>
        <v>0</v>
      </c>
      <c r="J210" s="22">
        <f t="shared" si="71"/>
        <v>480</v>
      </c>
      <c r="K210" s="22">
        <f t="shared" si="71"/>
        <v>178901.36000000002</v>
      </c>
      <c r="L210" s="22">
        <f t="shared" si="71"/>
        <v>0</v>
      </c>
      <c r="M210" s="22">
        <f t="shared" si="71"/>
        <v>0</v>
      </c>
      <c r="N210" s="22">
        <f t="shared" si="71"/>
        <v>2523.1799999999994</v>
      </c>
      <c r="O210" s="22">
        <f t="shared" si="71"/>
        <v>10944.009999999998</v>
      </c>
      <c r="P210" s="22">
        <f t="shared" si="71"/>
        <v>0</v>
      </c>
      <c r="Q210" s="23">
        <f t="shared" si="71"/>
        <v>672509.4299999999</v>
      </c>
    </row>
    <row r="211" spans="1:17" ht="12">
      <c r="A211" s="11">
        <v>13</v>
      </c>
      <c r="B211" s="12">
        <v>29</v>
      </c>
      <c r="C211" s="13" t="s">
        <v>60</v>
      </c>
      <c r="D211" s="27" t="s">
        <v>61</v>
      </c>
      <c r="E211" s="10" t="s">
        <v>21</v>
      </c>
      <c r="F211" s="10">
        <v>3549.24</v>
      </c>
      <c r="G211" s="10"/>
      <c r="H211" s="10">
        <v>360</v>
      </c>
      <c r="I211" s="10"/>
      <c r="J211" s="10"/>
      <c r="K211" s="10">
        <v>816.95</v>
      </c>
      <c r="L211" s="10"/>
      <c r="M211" s="10"/>
      <c r="N211" s="10"/>
      <c r="O211" s="10"/>
      <c r="P211" s="10"/>
      <c r="Q211" s="29">
        <f aca="true" t="shared" si="72" ref="Q211:Q226">SUM(F211:P211)</f>
        <v>4726.19</v>
      </c>
    </row>
    <row r="212" spans="1:17" ht="12">
      <c r="A212" s="11"/>
      <c r="B212" s="12"/>
      <c r="C212" s="13"/>
      <c r="D212" s="27"/>
      <c r="E212" s="10" t="s">
        <v>22</v>
      </c>
      <c r="F212" s="10">
        <v>4385.32</v>
      </c>
      <c r="G212" s="10"/>
      <c r="H212" s="10">
        <v>360</v>
      </c>
      <c r="I212" s="10"/>
      <c r="J212" s="10"/>
      <c r="K212" s="10">
        <v>16246.54</v>
      </c>
      <c r="L212" s="10"/>
      <c r="M212" s="10"/>
      <c r="N212" s="10"/>
      <c r="O212" s="10"/>
      <c r="P212" s="10"/>
      <c r="Q212" s="29">
        <f t="shared" si="72"/>
        <v>20991.86</v>
      </c>
    </row>
    <row r="213" spans="1:17" ht="12">
      <c r="A213" s="11"/>
      <c r="B213" s="12"/>
      <c r="C213" s="13"/>
      <c r="D213" s="27"/>
      <c r="E213" s="10" t="s">
        <v>23</v>
      </c>
      <c r="F213" s="10">
        <v>6702.13</v>
      </c>
      <c r="G213" s="10"/>
      <c r="H213" s="10">
        <v>480</v>
      </c>
      <c r="I213" s="10"/>
      <c r="J213" s="10"/>
      <c r="K213" s="10">
        <v>284.77</v>
      </c>
      <c r="L213" s="10"/>
      <c r="M213" s="10"/>
      <c r="N213" s="10"/>
      <c r="O213" s="10"/>
      <c r="P213" s="10"/>
      <c r="Q213" s="29">
        <f t="shared" si="72"/>
        <v>7466.9</v>
      </c>
    </row>
    <row r="214" spans="1:17" ht="12">
      <c r="A214" s="11"/>
      <c r="B214" s="12"/>
      <c r="C214" s="13"/>
      <c r="D214" s="27"/>
      <c r="E214" s="14" t="s">
        <v>24</v>
      </c>
      <c r="F214" s="14">
        <f aca="true" t="shared" si="73" ref="F214:P214">SUM(F211:F213)</f>
        <v>14636.689999999999</v>
      </c>
      <c r="G214" s="14">
        <f t="shared" si="73"/>
        <v>0</v>
      </c>
      <c r="H214" s="14">
        <f t="shared" si="73"/>
        <v>1200</v>
      </c>
      <c r="I214" s="14">
        <f t="shared" si="73"/>
        <v>0</v>
      </c>
      <c r="J214" s="14">
        <f t="shared" si="73"/>
        <v>0</v>
      </c>
      <c r="K214" s="14">
        <f t="shared" si="73"/>
        <v>17348.260000000002</v>
      </c>
      <c r="L214" s="14">
        <f t="shared" si="73"/>
        <v>0</v>
      </c>
      <c r="M214" s="14">
        <f t="shared" si="73"/>
        <v>0</v>
      </c>
      <c r="N214" s="14">
        <f t="shared" si="73"/>
        <v>0</v>
      </c>
      <c r="O214" s="14">
        <f t="shared" si="73"/>
        <v>0</v>
      </c>
      <c r="P214" s="14">
        <f t="shared" si="73"/>
        <v>0</v>
      </c>
      <c r="Q214" s="55">
        <f t="shared" si="72"/>
        <v>33184.95</v>
      </c>
    </row>
    <row r="215" spans="1:17" ht="12">
      <c r="A215" s="11"/>
      <c r="B215" s="12"/>
      <c r="C215" s="13"/>
      <c r="D215" s="27"/>
      <c r="E215" s="10" t="s">
        <v>25</v>
      </c>
      <c r="F215" s="10">
        <v>3474.18</v>
      </c>
      <c r="G215" s="10"/>
      <c r="H215" s="10">
        <v>480</v>
      </c>
      <c r="I215" s="10"/>
      <c r="J215" s="10"/>
      <c r="K215" s="10">
        <v>395.01</v>
      </c>
      <c r="L215" s="10"/>
      <c r="M215" s="10"/>
      <c r="N215" s="10"/>
      <c r="O215" s="10"/>
      <c r="P215" s="10"/>
      <c r="Q215" s="29">
        <f t="shared" si="72"/>
        <v>4349.19</v>
      </c>
    </row>
    <row r="216" spans="1:17" ht="12">
      <c r="A216" s="11"/>
      <c r="B216" s="12"/>
      <c r="C216" s="13"/>
      <c r="D216" s="27"/>
      <c r="E216" s="10" t="s">
        <v>26</v>
      </c>
      <c r="F216" s="10">
        <v>3994.89</v>
      </c>
      <c r="G216" s="10"/>
      <c r="H216" s="10">
        <v>480</v>
      </c>
      <c r="I216" s="10"/>
      <c r="J216" s="10"/>
      <c r="K216" s="10">
        <v>482.82</v>
      </c>
      <c r="L216" s="10"/>
      <c r="M216" s="10"/>
      <c r="N216" s="10"/>
      <c r="O216" s="10"/>
      <c r="P216" s="10"/>
      <c r="Q216" s="29">
        <f t="shared" si="72"/>
        <v>4957.709999999999</v>
      </c>
    </row>
    <row r="217" spans="1:17" ht="12">
      <c r="A217" s="11"/>
      <c r="B217" s="12"/>
      <c r="C217" s="13"/>
      <c r="D217" s="27"/>
      <c r="E217" s="10" t="s">
        <v>27</v>
      </c>
      <c r="F217" s="10">
        <v>4497.49</v>
      </c>
      <c r="G217" s="10"/>
      <c r="H217" s="10">
        <v>480</v>
      </c>
      <c r="I217" s="10"/>
      <c r="J217" s="10"/>
      <c r="K217" s="10"/>
      <c r="L217" s="10"/>
      <c r="M217" s="10"/>
      <c r="N217" s="10"/>
      <c r="O217" s="10"/>
      <c r="P217" s="10"/>
      <c r="Q217" s="29">
        <f t="shared" si="72"/>
        <v>4977.49</v>
      </c>
    </row>
    <row r="218" spans="1:17" ht="12">
      <c r="A218" s="11"/>
      <c r="B218" s="12"/>
      <c r="C218" s="13"/>
      <c r="D218" s="27"/>
      <c r="E218" s="14" t="s">
        <v>28</v>
      </c>
      <c r="F218" s="14">
        <f aca="true" t="shared" si="74" ref="F218:P218">SUM(F215:F217)</f>
        <v>11966.56</v>
      </c>
      <c r="G218" s="14">
        <f t="shared" si="74"/>
        <v>0</v>
      </c>
      <c r="H218" s="14">
        <f t="shared" si="74"/>
        <v>1440</v>
      </c>
      <c r="I218" s="14">
        <f t="shared" si="74"/>
        <v>0</v>
      </c>
      <c r="J218" s="14">
        <f t="shared" si="74"/>
        <v>0</v>
      </c>
      <c r="K218" s="14">
        <f t="shared" si="74"/>
        <v>877.8299999999999</v>
      </c>
      <c r="L218" s="14">
        <f t="shared" si="74"/>
        <v>0</v>
      </c>
      <c r="M218" s="14">
        <f t="shared" si="74"/>
        <v>0</v>
      </c>
      <c r="N218" s="14">
        <f t="shared" si="74"/>
        <v>0</v>
      </c>
      <c r="O218" s="14">
        <f t="shared" si="74"/>
        <v>0</v>
      </c>
      <c r="P218" s="14">
        <f t="shared" si="74"/>
        <v>0</v>
      </c>
      <c r="Q218" s="55">
        <f t="shared" si="72"/>
        <v>14284.39</v>
      </c>
    </row>
    <row r="219" spans="1:17" ht="12">
      <c r="A219" s="11"/>
      <c r="B219" s="12"/>
      <c r="C219" s="13"/>
      <c r="D219" s="27"/>
      <c r="E219" s="10" t="s">
        <v>29</v>
      </c>
      <c r="F219" s="10">
        <v>3424.52</v>
      </c>
      <c r="G219" s="10"/>
      <c r="H219" s="10"/>
      <c r="I219" s="10"/>
      <c r="J219" s="10"/>
      <c r="K219" s="10">
        <v>2390.33</v>
      </c>
      <c r="L219" s="10"/>
      <c r="M219" s="10"/>
      <c r="N219" s="10"/>
      <c r="O219" s="10"/>
      <c r="P219" s="10"/>
      <c r="Q219" s="29">
        <f t="shared" si="72"/>
        <v>5814.85</v>
      </c>
    </row>
    <row r="220" spans="1:17" ht="12.75">
      <c r="A220" s="11"/>
      <c r="B220" s="12"/>
      <c r="C220" s="13"/>
      <c r="D220" s="27"/>
      <c r="E220" s="10" t="s">
        <v>30</v>
      </c>
      <c r="F220" s="10">
        <v>2386.08</v>
      </c>
      <c r="G220" s="10"/>
      <c r="H220" s="17">
        <v>240</v>
      </c>
      <c r="I220" s="10"/>
      <c r="J220" s="10"/>
      <c r="K220" s="17">
        <v>4903.11</v>
      </c>
      <c r="L220" s="10"/>
      <c r="M220" s="10"/>
      <c r="N220" s="10"/>
      <c r="O220" s="10"/>
      <c r="P220" s="10"/>
      <c r="Q220" s="29">
        <f t="shared" si="72"/>
        <v>7529.19</v>
      </c>
    </row>
    <row r="221" spans="1:17" ht="12.75">
      <c r="A221" s="11"/>
      <c r="B221" s="12"/>
      <c r="C221" s="13"/>
      <c r="D221" s="27"/>
      <c r="E221" s="10" t="s">
        <v>31</v>
      </c>
      <c r="F221" s="10">
        <v>4846.49</v>
      </c>
      <c r="G221" s="10"/>
      <c r="H221" s="17">
        <v>360</v>
      </c>
      <c r="I221" s="10"/>
      <c r="J221" s="10"/>
      <c r="K221" s="17">
        <v>2341.86</v>
      </c>
      <c r="L221" s="10"/>
      <c r="M221" s="10"/>
      <c r="N221" s="10"/>
      <c r="O221" s="10"/>
      <c r="P221" s="10"/>
      <c r="Q221" s="29">
        <f t="shared" si="72"/>
        <v>7548.35</v>
      </c>
    </row>
    <row r="222" spans="1:17" ht="12">
      <c r="A222" s="11"/>
      <c r="B222" s="12"/>
      <c r="C222" s="13"/>
      <c r="D222" s="27"/>
      <c r="E222" s="14" t="s">
        <v>32</v>
      </c>
      <c r="F222" s="14">
        <f aca="true" t="shared" si="75" ref="F222:P222">SUM(F219:F221)</f>
        <v>10657.09</v>
      </c>
      <c r="G222" s="14">
        <f t="shared" si="75"/>
        <v>0</v>
      </c>
      <c r="H222" s="14">
        <f t="shared" si="75"/>
        <v>600</v>
      </c>
      <c r="I222" s="14">
        <f t="shared" si="75"/>
        <v>0</v>
      </c>
      <c r="J222" s="14">
        <f t="shared" si="75"/>
        <v>0</v>
      </c>
      <c r="K222" s="14">
        <f t="shared" si="75"/>
        <v>9635.3</v>
      </c>
      <c r="L222" s="14">
        <f t="shared" si="75"/>
        <v>0</v>
      </c>
      <c r="M222" s="14">
        <f t="shared" si="75"/>
        <v>0</v>
      </c>
      <c r="N222" s="14">
        <f t="shared" si="75"/>
        <v>0</v>
      </c>
      <c r="O222" s="14">
        <f t="shared" si="75"/>
        <v>0</v>
      </c>
      <c r="P222" s="14">
        <f t="shared" si="75"/>
        <v>0</v>
      </c>
      <c r="Q222" s="55">
        <f t="shared" si="72"/>
        <v>20892.39</v>
      </c>
    </row>
    <row r="223" spans="1:17" ht="12.75">
      <c r="A223" s="11"/>
      <c r="B223" s="12"/>
      <c r="C223" s="13"/>
      <c r="D223" s="27"/>
      <c r="E223" s="10" t="s">
        <v>33</v>
      </c>
      <c r="F223" s="17">
        <v>3923.76</v>
      </c>
      <c r="G223" s="10"/>
      <c r="H223" s="10"/>
      <c r="I223" s="10"/>
      <c r="J223" s="10"/>
      <c r="K223" s="17">
        <v>2750.36</v>
      </c>
      <c r="L223" s="10"/>
      <c r="M223" s="10"/>
      <c r="N223" s="17">
        <v>420.54</v>
      </c>
      <c r="O223" s="10"/>
      <c r="P223" s="10"/>
      <c r="Q223" s="29">
        <f t="shared" si="72"/>
        <v>7094.660000000001</v>
      </c>
    </row>
    <row r="224" spans="1:17" ht="12.75">
      <c r="A224" s="11"/>
      <c r="B224" s="12"/>
      <c r="C224" s="13"/>
      <c r="D224" s="27"/>
      <c r="E224" s="10" t="s">
        <v>34</v>
      </c>
      <c r="F224" s="10">
        <v>3139.8</v>
      </c>
      <c r="G224" s="10"/>
      <c r="H224" s="17">
        <v>240</v>
      </c>
      <c r="I224" s="10"/>
      <c r="J224" s="10"/>
      <c r="K224" s="17">
        <v>146.26</v>
      </c>
      <c r="L224" s="10"/>
      <c r="M224" s="10"/>
      <c r="N224" s="10"/>
      <c r="O224" s="10"/>
      <c r="P224" s="10"/>
      <c r="Q224" s="29">
        <f t="shared" si="72"/>
        <v>3526.0600000000004</v>
      </c>
    </row>
    <row r="225" spans="1:17" ht="12.75">
      <c r="A225" s="11"/>
      <c r="B225" s="12"/>
      <c r="C225" s="13"/>
      <c r="D225" s="27"/>
      <c r="E225" s="10" t="s">
        <v>35</v>
      </c>
      <c r="F225" s="10">
        <v>7044.46</v>
      </c>
      <c r="G225" s="10"/>
      <c r="H225" s="18">
        <v>600</v>
      </c>
      <c r="I225" s="10"/>
      <c r="J225" s="10"/>
      <c r="K225" s="10"/>
      <c r="L225" s="10"/>
      <c r="M225" s="10"/>
      <c r="N225" s="18">
        <v>420.54</v>
      </c>
      <c r="O225" s="10"/>
      <c r="P225" s="10"/>
      <c r="Q225" s="29">
        <f t="shared" si="72"/>
        <v>8065</v>
      </c>
    </row>
    <row r="226" spans="1:17" ht="12">
      <c r="A226" s="11"/>
      <c r="B226" s="12"/>
      <c r="C226" s="13"/>
      <c r="D226" s="27"/>
      <c r="E226" s="14" t="s">
        <v>36</v>
      </c>
      <c r="F226" s="14">
        <f aca="true" t="shared" si="76" ref="F226:P226">SUM(F223:F225)</f>
        <v>14108.02</v>
      </c>
      <c r="G226" s="14">
        <f t="shared" si="76"/>
        <v>0</v>
      </c>
      <c r="H226" s="14">
        <f t="shared" si="76"/>
        <v>840</v>
      </c>
      <c r="I226" s="14">
        <f t="shared" si="76"/>
        <v>0</v>
      </c>
      <c r="J226" s="14">
        <f t="shared" si="76"/>
        <v>0</v>
      </c>
      <c r="K226" s="14">
        <f t="shared" si="76"/>
        <v>2896.62</v>
      </c>
      <c r="L226" s="14">
        <f t="shared" si="76"/>
        <v>0</v>
      </c>
      <c r="M226" s="14">
        <f t="shared" si="76"/>
        <v>0</v>
      </c>
      <c r="N226" s="14">
        <f t="shared" si="76"/>
        <v>841.08</v>
      </c>
      <c r="O226" s="14">
        <f t="shared" si="76"/>
        <v>0</v>
      </c>
      <c r="P226" s="14">
        <f t="shared" si="76"/>
        <v>0</v>
      </c>
      <c r="Q226" s="55">
        <f t="shared" si="72"/>
        <v>18685.72</v>
      </c>
    </row>
    <row r="227" spans="1:17" ht="12.75" thickBot="1">
      <c r="A227" s="11"/>
      <c r="B227" s="12"/>
      <c r="C227" s="13"/>
      <c r="D227" s="27"/>
      <c r="E227" s="22" t="s">
        <v>37</v>
      </c>
      <c r="F227" s="22">
        <f aca="true" t="shared" si="77" ref="F227:Q227">F214+F218+F222+F226</f>
        <v>51368.36</v>
      </c>
      <c r="G227" s="22">
        <f t="shared" si="77"/>
        <v>0</v>
      </c>
      <c r="H227" s="22">
        <f t="shared" si="77"/>
        <v>4080</v>
      </c>
      <c r="I227" s="22">
        <f t="shared" si="77"/>
        <v>0</v>
      </c>
      <c r="J227" s="22">
        <f t="shared" si="77"/>
        <v>0</v>
      </c>
      <c r="K227" s="22">
        <f t="shared" si="77"/>
        <v>30758.010000000002</v>
      </c>
      <c r="L227" s="22">
        <f t="shared" si="77"/>
        <v>0</v>
      </c>
      <c r="M227" s="22">
        <f t="shared" si="77"/>
        <v>0</v>
      </c>
      <c r="N227" s="22">
        <f t="shared" si="77"/>
        <v>841.08</v>
      </c>
      <c r="O227" s="22">
        <f t="shared" si="77"/>
        <v>0</v>
      </c>
      <c r="P227" s="22">
        <f t="shared" si="77"/>
        <v>0</v>
      </c>
      <c r="Q227" s="23">
        <f t="shared" si="77"/>
        <v>87047.45</v>
      </c>
    </row>
    <row r="228" spans="1:17" ht="12">
      <c r="A228" s="11">
        <v>14</v>
      </c>
      <c r="B228" s="12">
        <v>20</v>
      </c>
      <c r="C228" s="13" t="s">
        <v>62</v>
      </c>
      <c r="D228" s="27" t="s">
        <v>63</v>
      </c>
      <c r="E228" s="10" t="s">
        <v>21</v>
      </c>
      <c r="F228" s="10">
        <v>1554.13</v>
      </c>
      <c r="G228" s="10"/>
      <c r="H228" s="10"/>
      <c r="I228" s="10"/>
      <c r="J228" s="10"/>
      <c r="K228" s="10">
        <v>19.9</v>
      </c>
      <c r="L228" s="10"/>
      <c r="M228" s="10"/>
      <c r="N228" s="10"/>
      <c r="O228" s="10"/>
      <c r="P228" s="10"/>
      <c r="Q228" s="29">
        <f aca="true" t="shared" si="78" ref="Q228:Q243">SUM(F228:P228)</f>
        <v>1574.0300000000002</v>
      </c>
    </row>
    <row r="229" spans="1:17" ht="12">
      <c r="A229" s="11"/>
      <c r="B229" s="12"/>
      <c r="C229" s="13"/>
      <c r="D229" s="27"/>
      <c r="E229" s="10" t="s">
        <v>22</v>
      </c>
      <c r="F229" s="10">
        <v>719.3</v>
      </c>
      <c r="G229" s="10"/>
      <c r="H229" s="10"/>
      <c r="I229" s="10"/>
      <c r="J229" s="10"/>
      <c r="K229" s="10">
        <v>1298.49</v>
      </c>
      <c r="L229" s="10"/>
      <c r="M229" s="10"/>
      <c r="N229" s="10"/>
      <c r="O229" s="10"/>
      <c r="P229" s="10"/>
      <c r="Q229" s="29">
        <f t="shared" si="78"/>
        <v>2017.79</v>
      </c>
    </row>
    <row r="230" spans="1:17" ht="12">
      <c r="A230" s="11"/>
      <c r="B230" s="12"/>
      <c r="C230" s="13"/>
      <c r="D230" s="27"/>
      <c r="E230" s="10" t="s">
        <v>23</v>
      </c>
      <c r="F230" s="10">
        <v>2740.45</v>
      </c>
      <c r="G230" s="10"/>
      <c r="H230" s="10"/>
      <c r="I230" s="10"/>
      <c r="J230" s="10"/>
      <c r="K230" s="10">
        <v>216.94</v>
      </c>
      <c r="L230" s="10"/>
      <c r="M230" s="10"/>
      <c r="N230" s="10"/>
      <c r="O230" s="10"/>
      <c r="P230" s="10"/>
      <c r="Q230" s="29">
        <f t="shared" si="78"/>
        <v>2957.39</v>
      </c>
    </row>
    <row r="231" spans="1:17" ht="12">
      <c r="A231" s="11"/>
      <c r="B231" s="12"/>
      <c r="C231" s="13"/>
      <c r="D231" s="27"/>
      <c r="E231" s="14" t="s">
        <v>24</v>
      </c>
      <c r="F231" s="14">
        <f aca="true" t="shared" si="79" ref="F231:P231">SUM(F228:F230)</f>
        <v>5013.88</v>
      </c>
      <c r="G231" s="14">
        <f t="shared" si="79"/>
        <v>0</v>
      </c>
      <c r="H231" s="14">
        <f t="shared" si="79"/>
        <v>0</v>
      </c>
      <c r="I231" s="14">
        <f t="shared" si="79"/>
        <v>0</v>
      </c>
      <c r="J231" s="14">
        <f t="shared" si="79"/>
        <v>0</v>
      </c>
      <c r="K231" s="14">
        <f t="shared" si="79"/>
        <v>1535.3300000000002</v>
      </c>
      <c r="L231" s="14">
        <f t="shared" si="79"/>
        <v>0</v>
      </c>
      <c r="M231" s="14">
        <f t="shared" si="79"/>
        <v>0</v>
      </c>
      <c r="N231" s="14">
        <f t="shared" si="79"/>
        <v>0</v>
      </c>
      <c r="O231" s="14">
        <f t="shared" si="79"/>
        <v>0</v>
      </c>
      <c r="P231" s="14">
        <f t="shared" si="79"/>
        <v>0</v>
      </c>
      <c r="Q231" s="55">
        <f t="shared" si="78"/>
        <v>6549.21</v>
      </c>
    </row>
    <row r="232" spans="1:17" ht="12">
      <c r="A232" s="11"/>
      <c r="B232" s="12"/>
      <c r="C232" s="13"/>
      <c r="D232" s="27"/>
      <c r="E232" s="10" t="s">
        <v>25</v>
      </c>
      <c r="F232" s="10">
        <v>1370.53</v>
      </c>
      <c r="G232" s="10"/>
      <c r="H232" s="10"/>
      <c r="I232" s="10"/>
      <c r="J232" s="10"/>
      <c r="K232" s="10">
        <v>228.26</v>
      </c>
      <c r="L232" s="10"/>
      <c r="M232" s="10"/>
      <c r="N232" s="10"/>
      <c r="O232" s="10"/>
      <c r="P232" s="10"/>
      <c r="Q232" s="29">
        <f t="shared" si="78"/>
        <v>1598.79</v>
      </c>
    </row>
    <row r="233" spans="1:17" ht="12">
      <c r="A233" s="11"/>
      <c r="B233" s="12"/>
      <c r="C233" s="13"/>
      <c r="D233" s="27"/>
      <c r="E233" s="10" t="s">
        <v>26</v>
      </c>
      <c r="F233" s="10">
        <v>1482.46</v>
      </c>
      <c r="G233" s="10"/>
      <c r="H233" s="10"/>
      <c r="I233" s="10"/>
      <c r="J233" s="10"/>
      <c r="K233" s="10">
        <v>1070.88</v>
      </c>
      <c r="L233" s="10"/>
      <c r="M233" s="10"/>
      <c r="N233" s="10"/>
      <c r="O233" s="10"/>
      <c r="P233" s="10"/>
      <c r="Q233" s="29">
        <f t="shared" si="78"/>
        <v>2553.34</v>
      </c>
    </row>
    <row r="234" spans="1:17" ht="12">
      <c r="A234" s="11"/>
      <c r="B234" s="12"/>
      <c r="C234" s="13"/>
      <c r="D234" s="27"/>
      <c r="E234" s="10" t="s">
        <v>27</v>
      </c>
      <c r="F234" s="10">
        <v>2480.38</v>
      </c>
      <c r="G234" s="10"/>
      <c r="H234" s="10"/>
      <c r="I234" s="10"/>
      <c r="J234" s="10"/>
      <c r="K234" s="10">
        <v>351.95</v>
      </c>
      <c r="L234" s="10"/>
      <c r="M234" s="10"/>
      <c r="N234" s="10"/>
      <c r="O234" s="10"/>
      <c r="P234" s="10"/>
      <c r="Q234" s="29">
        <f t="shared" si="78"/>
        <v>2832.33</v>
      </c>
    </row>
    <row r="235" spans="1:17" ht="12">
      <c r="A235" s="11"/>
      <c r="B235" s="12"/>
      <c r="C235" s="13"/>
      <c r="D235" s="27"/>
      <c r="E235" s="14" t="s">
        <v>28</v>
      </c>
      <c r="F235" s="14">
        <f aca="true" t="shared" si="80" ref="F235:P235">SUM(F232:F234)</f>
        <v>5333.37</v>
      </c>
      <c r="G235" s="14">
        <f t="shared" si="80"/>
        <v>0</v>
      </c>
      <c r="H235" s="14">
        <f t="shared" si="80"/>
        <v>0</v>
      </c>
      <c r="I235" s="14">
        <f t="shared" si="80"/>
        <v>0</v>
      </c>
      <c r="J235" s="14">
        <f t="shared" si="80"/>
        <v>0</v>
      </c>
      <c r="K235" s="14">
        <f t="shared" si="80"/>
        <v>1651.0900000000001</v>
      </c>
      <c r="L235" s="14">
        <f t="shared" si="80"/>
        <v>0</v>
      </c>
      <c r="M235" s="14">
        <f t="shared" si="80"/>
        <v>0</v>
      </c>
      <c r="N235" s="14">
        <f t="shared" si="80"/>
        <v>0</v>
      </c>
      <c r="O235" s="14">
        <f t="shared" si="80"/>
        <v>0</v>
      </c>
      <c r="P235" s="14">
        <f t="shared" si="80"/>
        <v>0</v>
      </c>
      <c r="Q235" s="55">
        <f t="shared" si="78"/>
        <v>6984.46</v>
      </c>
    </row>
    <row r="236" spans="1:17" ht="12">
      <c r="A236" s="11"/>
      <c r="B236" s="12"/>
      <c r="C236" s="13"/>
      <c r="D236" s="27"/>
      <c r="E236" s="10" t="s">
        <v>29</v>
      </c>
      <c r="F236" s="10">
        <v>1376.91</v>
      </c>
      <c r="G236" s="10"/>
      <c r="H236" s="10"/>
      <c r="I236" s="10"/>
      <c r="J236" s="10"/>
      <c r="K236" s="10">
        <v>197.04</v>
      </c>
      <c r="L236" s="10"/>
      <c r="M236" s="10"/>
      <c r="N236" s="10"/>
      <c r="O236" s="10"/>
      <c r="P236" s="10"/>
      <c r="Q236" s="29">
        <f t="shared" si="78"/>
        <v>1573.95</v>
      </c>
    </row>
    <row r="237" spans="1:17" ht="12.75">
      <c r="A237" s="11"/>
      <c r="B237" s="12"/>
      <c r="C237" s="13"/>
      <c r="D237" s="27"/>
      <c r="E237" s="10" t="s">
        <v>30</v>
      </c>
      <c r="F237" s="17">
        <v>2281.16</v>
      </c>
      <c r="G237" s="10"/>
      <c r="H237" s="10"/>
      <c r="I237" s="10"/>
      <c r="J237" s="10"/>
      <c r="K237" s="17">
        <v>1180.72</v>
      </c>
      <c r="L237" s="10"/>
      <c r="M237" s="10"/>
      <c r="N237" s="10"/>
      <c r="O237" s="10"/>
      <c r="P237" s="10"/>
      <c r="Q237" s="29">
        <f t="shared" si="78"/>
        <v>3461.88</v>
      </c>
    </row>
    <row r="238" spans="1:17" ht="12.75">
      <c r="A238" s="11"/>
      <c r="B238" s="12"/>
      <c r="C238" s="13"/>
      <c r="D238" s="27"/>
      <c r="E238" s="10" t="s">
        <v>31</v>
      </c>
      <c r="F238" s="17">
        <v>2065.57</v>
      </c>
      <c r="G238" s="10"/>
      <c r="H238" s="10"/>
      <c r="I238" s="10"/>
      <c r="J238" s="10"/>
      <c r="K238" s="17">
        <v>116.28</v>
      </c>
      <c r="L238" s="10"/>
      <c r="M238" s="10"/>
      <c r="N238" s="10"/>
      <c r="O238" s="10"/>
      <c r="P238" s="10"/>
      <c r="Q238" s="29">
        <f t="shared" si="78"/>
        <v>2181.8500000000004</v>
      </c>
    </row>
    <row r="239" spans="1:17" ht="12">
      <c r="A239" s="11"/>
      <c r="B239" s="12"/>
      <c r="C239" s="13"/>
      <c r="D239" s="27"/>
      <c r="E239" s="14" t="s">
        <v>32</v>
      </c>
      <c r="F239" s="14">
        <f aca="true" t="shared" si="81" ref="F239:P239">SUM(F236:F238)</f>
        <v>5723.639999999999</v>
      </c>
      <c r="G239" s="14">
        <f t="shared" si="81"/>
        <v>0</v>
      </c>
      <c r="H239" s="14">
        <f t="shared" si="81"/>
        <v>0</v>
      </c>
      <c r="I239" s="14">
        <f t="shared" si="81"/>
        <v>0</v>
      </c>
      <c r="J239" s="14">
        <f t="shared" si="81"/>
        <v>0</v>
      </c>
      <c r="K239" s="14">
        <f t="shared" si="81"/>
        <v>1494.04</v>
      </c>
      <c r="L239" s="14">
        <f t="shared" si="81"/>
        <v>0</v>
      </c>
      <c r="M239" s="14">
        <f t="shared" si="81"/>
        <v>0</v>
      </c>
      <c r="N239" s="14">
        <f t="shared" si="81"/>
        <v>0</v>
      </c>
      <c r="O239" s="14">
        <f t="shared" si="81"/>
        <v>0</v>
      </c>
      <c r="P239" s="14">
        <f t="shared" si="81"/>
        <v>0</v>
      </c>
      <c r="Q239" s="55">
        <f t="shared" si="78"/>
        <v>7217.679999999999</v>
      </c>
    </row>
    <row r="240" spans="1:17" ht="12.75">
      <c r="A240" s="11"/>
      <c r="B240" s="12"/>
      <c r="C240" s="13"/>
      <c r="D240" s="27"/>
      <c r="E240" s="10" t="s">
        <v>33</v>
      </c>
      <c r="F240" s="17">
        <v>1672.35</v>
      </c>
      <c r="G240" s="10"/>
      <c r="H240" s="10"/>
      <c r="I240" s="10"/>
      <c r="J240" s="10"/>
      <c r="K240" s="17">
        <v>744.39</v>
      </c>
      <c r="L240" s="10"/>
      <c r="M240" s="10"/>
      <c r="N240" s="10"/>
      <c r="O240" s="10"/>
      <c r="P240" s="10"/>
      <c r="Q240" s="29">
        <f t="shared" si="78"/>
        <v>2416.74</v>
      </c>
    </row>
    <row r="241" spans="1:17" ht="12.75">
      <c r="A241" s="11"/>
      <c r="B241" s="12"/>
      <c r="C241" s="13"/>
      <c r="D241" s="27"/>
      <c r="E241" s="10" t="s">
        <v>34</v>
      </c>
      <c r="F241" s="17">
        <v>1835.57</v>
      </c>
      <c r="G241" s="10"/>
      <c r="H241" s="10"/>
      <c r="I241" s="10"/>
      <c r="J241" s="10"/>
      <c r="K241" s="17">
        <v>239.29</v>
      </c>
      <c r="L241" s="10"/>
      <c r="M241" s="10"/>
      <c r="N241" s="10"/>
      <c r="O241" s="10"/>
      <c r="P241" s="10"/>
      <c r="Q241" s="29">
        <f t="shared" si="78"/>
        <v>2074.86</v>
      </c>
    </row>
    <row r="242" spans="1:17" ht="12.75">
      <c r="A242" s="11"/>
      <c r="B242" s="12"/>
      <c r="C242" s="13"/>
      <c r="D242" s="27"/>
      <c r="E242" s="10" t="s">
        <v>35</v>
      </c>
      <c r="F242" s="18">
        <v>2602.35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29">
        <f t="shared" si="78"/>
        <v>2602.35</v>
      </c>
    </row>
    <row r="243" spans="1:17" ht="12">
      <c r="A243" s="11"/>
      <c r="B243" s="12"/>
      <c r="C243" s="13"/>
      <c r="D243" s="27"/>
      <c r="E243" s="14" t="s">
        <v>36</v>
      </c>
      <c r="F243" s="14">
        <f aca="true" t="shared" si="82" ref="F243:P243">SUM(F240:F242)</f>
        <v>6110.27</v>
      </c>
      <c r="G243" s="14">
        <f t="shared" si="82"/>
        <v>0</v>
      </c>
      <c r="H243" s="14">
        <f t="shared" si="82"/>
        <v>0</v>
      </c>
      <c r="I243" s="14">
        <f t="shared" si="82"/>
        <v>0</v>
      </c>
      <c r="J243" s="14">
        <f t="shared" si="82"/>
        <v>0</v>
      </c>
      <c r="K243" s="14">
        <f t="shared" si="82"/>
        <v>983.68</v>
      </c>
      <c r="L243" s="14">
        <f t="shared" si="82"/>
        <v>0</v>
      </c>
      <c r="M243" s="14">
        <f t="shared" si="82"/>
        <v>0</v>
      </c>
      <c r="N243" s="14">
        <f t="shared" si="82"/>
        <v>0</v>
      </c>
      <c r="O243" s="14">
        <f t="shared" si="82"/>
        <v>0</v>
      </c>
      <c r="P243" s="14">
        <f t="shared" si="82"/>
        <v>0</v>
      </c>
      <c r="Q243" s="55">
        <f t="shared" si="78"/>
        <v>7093.950000000001</v>
      </c>
    </row>
    <row r="244" spans="1:17" ht="12.75" thickBot="1">
      <c r="A244" s="11"/>
      <c r="B244" s="12"/>
      <c r="C244" s="13"/>
      <c r="D244" s="27"/>
      <c r="E244" s="22" t="s">
        <v>37</v>
      </c>
      <c r="F244" s="22">
        <f aca="true" t="shared" si="83" ref="F244:Q244">F231+F235+F239+F243</f>
        <v>22181.16</v>
      </c>
      <c r="G244" s="22">
        <f t="shared" si="83"/>
        <v>0</v>
      </c>
      <c r="H244" s="22">
        <f t="shared" si="83"/>
        <v>0</v>
      </c>
      <c r="I244" s="22">
        <f t="shared" si="83"/>
        <v>0</v>
      </c>
      <c r="J244" s="22">
        <f t="shared" si="83"/>
        <v>0</v>
      </c>
      <c r="K244" s="22">
        <f t="shared" si="83"/>
        <v>5664.14</v>
      </c>
      <c r="L244" s="22">
        <f t="shared" si="83"/>
        <v>0</v>
      </c>
      <c r="M244" s="22">
        <f t="shared" si="83"/>
        <v>0</v>
      </c>
      <c r="N244" s="22">
        <f t="shared" si="83"/>
        <v>0</v>
      </c>
      <c r="O244" s="22">
        <f t="shared" si="83"/>
        <v>0</v>
      </c>
      <c r="P244" s="22">
        <f t="shared" si="83"/>
        <v>0</v>
      </c>
      <c r="Q244" s="23">
        <f t="shared" si="83"/>
        <v>27845.3</v>
      </c>
    </row>
    <row r="245" spans="1:17" ht="12">
      <c r="A245" s="11">
        <v>15</v>
      </c>
      <c r="B245" s="12">
        <v>88</v>
      </c>
      <c r="C245" s="13" t="s">
        <v>64</v>
      </c>
      <c r="D245" s="27" t="s">
        <v>65</v>
      </c>
      <c r="E245" s="10" t="s">
        <v>21</v>
      </c>
      <c r="F245" s="10">
        <v>127602.46</v>
      </c>
      <c r="G245" s="10"/>
      <c r="H245" s="10">
        <v>13320</v>
      </c>
      <c r="I245" s="10"/>
      <c r="J245" s="10">
        <v>420</v>
      </c>
      <c r="K245" s="10">
        <v>54119.23</v>
      </c>
      <c r="L245" s="10">
        <v>82364.94</v>
      </c>
      <c r="M245" s="10"/>
      <c r="N245" s="10"/>
      <c r="O245" s="10">
        <v>7407.43</v>
      </c>
      <c r="P245" s="10">
        <v>14853.26</v>
      </c>
      <c r="Q245" s="29">
        <f aca="true" t="shared" si="84" ref="Q245:Q260">SUM(F245:P245)</f>
        <v>300087.32</v>
      </c>
    </row>
    <row r="246" spans="1:17" ht="12">
      <c r="A246" s="11"/>
      <c r="B246" s="12"/>
      <c r="C246" s="13"/>
      <c r="D246" s="27"/>
      <c r="E246" s="10" t="s">
        <v>22</v>
      </c>
      <c r="F246" s="10">
        <v>126584.59</v>
      </c>
      <c r="G246" s="10"/>
      <c r="H246" s="10">
        <v>14280</v>
      </c>
      <c r="I246" s="10"/>
      <c r="J246" s="10">
        <v>1680</v>
      </c>
      <c r="K246" s="10">
        <v>39340.15</v>
      </c>
      <c r="L246" s="10"/>
      <c r="M246" s="10"/>
      <c r="N246" s="10"/>
      <c r="O246" s="10">
        <v>2047.94</v>
      </c>
      <c r="P246" s="10">
        <v>14853.26</v>
      </c>
      <c r="Q246" s="29">
        <f t="shared" si="84"/>
        <v>198785.94</v>
      </c>
    </row>
    <row r="247" spans="1:17" ht="12">
      <c r="A247" s="11"/>
      <c r="B247" s="12"/>
      <c r="C247" s="13"/>
      <c r="D247" s="27"/>
      <c r="E247" s="10" t="s">
        <v>23</v>
      </c>
      <c r="F247" s="10">
        <v>151662.12</v>
      </c>
      <c r="G247" s="10"/>
      <c r="H247" s="10">
        <v>16560</v>
      </c>
      <c r="I247" s="10"/>
      <c r="J247" s="10">
        <v>420</v>
      </c>
      <c r="K247" s="10">
        <v>43046.13</v>
      </c>
      <c r="L247" s="10"/>
      <c r="M247" s="10"/>
      <c r="N247" s="10"/>
      <c r="O247" s="10">
        <v>1023.97</v>
      </c>
      <c r="P247" s="10">
        <v>14853.26</v>
      </c>
      <c r="Q247" s="29">
        <f t="shared" si="84"/>
        <v>227565.48</v>
      </c>
    </row>
    <row r="248" spans="1:17" ht="12">
      <c r="A248" s="11"/>
      <c r="B248" s="12"/>
      <c r="C248" s="13"/>
      <c r="D248" s="27"/>
      <c r="E248" s="14" t="s">
        <v>24</v>
      </c>
      <c r="F248" s="14">
        <f aca="true" t="shared" si="85" ref="F248:P248">SUM(F245:F247)</f>
        <v>405849.17</v>
      </c>
      <c r="G248" s="14">
        <f t="shared" si="85"/>
        <v>0</v>
      </c>
      <c r="H248" s="14">
        <f t="shared" si="85"/>
        <v>44160</v>
      </c>
      <c r="I248" s="14">
        <f t="shared" si="85"/>
        <v>0</v>
      </c>
      <c r="J248" s="14">
        <f t="shared" si="85"/>
        <v>2520</v>
      </c>
      <c r="K248" s="14">
        <f t="shared" si="85"/>
        <v>136505.51</v>
      </c>
      <c r="L248" s="14">
        <f t="shared" si="85"/>
        <v>82364.94</v>
      </c>
      <c r="M248" s="14">
        <f t="shared" si="85"/>
        <v>0</v>
      </c>
      <c r="N248" s="14">
        <f t="shared" si="85"/>
        <v>0</v>
      </c>
      <c r="O248" s="14">
        <f t="shared" si="85"/>
        <v>10479.34</v>
      </c>
      <c r="P248" s="14">
        <f t="shared" si="85"/>
        <v>44559.78</v>
      </c>
      <c r="Q248" s="55">
        <f t="shared" si="84"/>
        <v>726438.7399999999</v>
      </c>
    </row>
    <row r="249" spans="1:17" ht="12">
      <c r="A249" s="11"/>
      <c r="B249" s="12"/>
      <c r="C249" s="13"/>
      <c r="D249" s="27"/>
      <c r="E249" s="10" t="s">
        <v>25</v>
      </c>
      <c r="F249" s="10">
        <v>122377.73</v>
      </c>
      <c r="G249" s="10"/>
      <c r="H249" s="10">
        <v>13080</v>
      </c>
      <c r="I249" s="10"/>
      <c r="J249" s="10">
        <v>420</v>
      </c>
      <c r="K249" s="10">
        <v>37785.89</v>
      </c>
      <c r="L249" s="10"/>
      <c r="M249" s="10"/>
      <c r="N249" s="10"/>
      <c r="O249" s="10"/>
      <c r="P249" s="10"/>
      <c r="Q249" s="29">
        <f t="shared" si="84"/>
        <v>173663.62</v>
      </c>
    </row>
    <row r="250" spans="1:17" ht="12">
      <c r="A250" s="11"/>
      <c r="B250" s="12"/>
      <c r="C250" s="13"/>
      <c r="D250" s="27"/>
      <c r="E250" s="10" t="s">
        <v>26</v>
      </c>
      <c r="F250" s="10">
        <v>153390.29</v>
      </c>
      <c r="G250" s="10"/>
      <c r="H250" s="10">
        <v>16560</v>
      </c>
      <c r="I250" s="10"/>
      <c r="J250" s="10">
        <v>1920</v>
      </c>
      <c r="K250" s="10">
        <v>60257.01</v>
      </c>
      <c r="L250" s="10"/>
      <c r="M250" s="10"/>
      <c r="N250" s="10"/>
      <c r="O250" s="10">
        <v>10479.34</v>
      </c>
      <c r="P250" s="10"/>
      <c r="Q250" s="29">
        <f t="shared" si="84"/>
        <v>242606.64</v>
      </c>
    </row>
    <row r="251" spans="1:17" ht="12">
      <c r="A251" s="11"/>
      <c r="B251" s="12"/>
      <c r="C251" s="13"/>
      <c r="D251" s="27"/>
      <c r="E251" s="10" t="s">
        <v>27</v>
      </c>
      <c r="F251" s="15">
        <f>140725.7-140725.7</f>
        <v>0</v>
      </c>
      <c r="G251" s="10"/>
      <c r="H251" s="10">
        <v>14280</v>
      </c>
      <c r="I251" s="10"/>
      <c r="J251" s="10">
        <v>960</v>
      </c>
      <c r="K251" s="10">
        <v>21382.94</v>
      </c>
      <c r="L251" s="10"/>
      <c r="M251" s="10"/>
      <c r="N251" s="10"/>
      <c r="O251" s="10"/>
      <c r="P251" s="10"/>
      <c r="Q251" s="29">
        <f t="shared" si="84"/>
        <v>36622.94</v>
      </c>
    </row>
    <row r="252" spans="1:17" ht="12">
      <c r="A252" s="11"/>
      <c r="B252" s="12"/>
      <c r="C252" s="13"/>
      <c r="D252" s="27"/>
      <c r="E252" s="14" t="s">
        <v>28</v>
      </c>
      <c r="F252" s="14">
        <f aca="true" t="shared" si="86" ref="F252:P252">SUM(F249:F251)</f>
        <v>275768.02</v>
      </c>
      <c r="G252" s="14">
        <f t="shared" si="86"/>
        <v>0</v>
      </c>
      <c r="H252" s="14">
        <f t="shared" si="86"/>
        <v>43920</v>
      </c>
      <c r="I252" s="14">
        <f t="shared" si="86"/>
        <v>0</v>
      </c>
      <c r="J252" s="14">
        <f t="shared" si="86"/>
        <v>3300</v>
      </c>
      <c r="K252" s="14">
        <f t="shared" si="86"/>
        <v>119425.84</v>
      </c>
      <c r="L252" s="14">
        <f t="shared" si="86"/>
        <v>0</v>
      </c>
      <c r="M252" s="14">
        <f t="shared" si="86"/>
        <v>0</v>
      </c>
      <c r="N252" s="14">
        <f t="shared" si="86"/>
        <v>0</v>
      </c>
      <c r="O252" s="14">
        <f t="shared" si="86"/>
        <v>10479.34</v>
      </c>
      <c r="P252" s="14">
        <f t="shared" si="86"/>
        <v>0</v>
      </c>
      <c r="Q252" s="55">
        <f t="shared" si="84"/>
        <v>452893.2</v>
      </c>
    </row>
    <row r="253" spans="1:17" ht="12">
      <c r="A253" s="11"/>
      <c r="B253" s="12"/>
      <c r="C253" s="13"/>
      <c r="D253" s="27"/>
      <c r="E253" s="10" t="s">
        <v>29</v>
      </c>
      <c r="F253" s="15">
        <f>140725.7+130290.78</f>
        <v>271016.48</v>
      </c>
      <c r="G253" s="10"/>
      <c r="H253" s="10">
        <v>13320</v>
      </c>
      <c r="I253" s="10"/>
      <c r="J253" s="10"/>
      <c r="K253" s="10">
        <v>32835.12</v>
      </c>
      <c r="L253" s="10"/>
      <c r="M253" s="10"/>
      <c r="N253" s="10"/>
      <c r="O253" s="16">
        <v>5927.93</v>
      </c>
      <c r="P253" s="16">
        <v>14853.26</v>
      </c>
      <c r="Q253" s="29">
        <f t="shared" si="84"/>
        <v>337952.79</v>
      </c>
    </row>
    <row r="254" spans="1:17" ht="12.75">
      <c r="A254" s="11"/>
      <c r="B254" s="12"/>
      <c r="C254" s="13"/>
      <c r="D254" s="27"/>
      <c r="E254" s="10" t="s">
        <v>30</v>
      </c>
      <c r="F254" s="10">
        <v>143817.05</v>
      </c>
      <c r="G254" s="10"/>
      <c r="H254" s="10">
        <v>15120</v>
      </c>
      <c r="I254" s="10"/>
      <c r="J254" s="10">
        <v>960</v>
      </c>
      <c r="K254" s="10">
        <v>41885.83</v>
      </c>
      <c r="L254" s="10"/>
      <c r="M254" s="10"/>
      <c r="N254" s="10"/>
      <c r="O254" s="10">
        <v>4330.3</v>
      </c>
      <c r="P254" s="17">
        <v>29706.52</v>
      </c>
      <c r="Q254" s="29">
        <f t="shared" si="84"/>
        <v>235819.69999999998</v>
      </c>
    </row>
    <row r="255" spans="1:17" ht="12.75">
      <c r="A255" s="11"/>
      <c r="B255" s="12"/>
      <c r="C255" s="13"/>
      <c r="D255" s="27"/>
      <c r="E255" s="10" t="s">
        <v>31</v>
      </c>
      <c r="F255" s="15">
        <f>133043.08-133043.08</f>
        <v>0</v>
      </c>
      <c r="G255" s="10"/>
      <c r="H255" s="10">
        <v>13560</v>
      </c>
      <c r="I255" s="10"/>
      <c r="J255" s="17">
        <v>1440</v>
      </c>
      <c r="K255" s="10">
        <v>18385.179999999997</v>
      </c>
      <c r="L255" s="10"/>
      <c r="M255" s="10"/>
      <c r="N255" s="10"/>
      <c r="O255" s="17">
        <v>221.11</v>
      </c>
      <c r="P255" s="17">
        <v>29706.52</v>
      </c>
      <c r="Q255" s="29">
        <f t="shared" si="84"/>
        <v>63312.81</v>
      </c>
    </row>
    <row r="256" spans="1:17" ht="12">
      <c r="A256" s="11"/>
      <c r="B256" s="12"/>
      <c r="C256" s="13"/>
      <c r="D256" s="27"/>
      <c r="E256" s="14" t="s">
        <v>32</v>
      </c>
      <c r="F256" s="14">
        <f aca="true" t="shared" si="87" ref="F256:P256">SUM(F253:F255)</f>
        <v>414833.52999999997</v>
      </c>
      <c r="G256" s="14">
        <f t="shared" si="87"/>
        <v>0</v>
      </c>
      <c r="H256" s="14">
        <f t="shared" si="87"/>
        <v>42000</v>
      </c>
      <c r="I256" s="14">
        <f t="shared" si="87"/>
        <v>0</v>
      </c>
      <c r="J256" s="14">
        <f t="shared" si="87"/>
        <v>2400</v>
      </c>
      <c r="K256" s="14">
        <f t="shared" si="87"/>
        <v>93106.13</v>
      </c>
      <c r="L256" s="14">
        <f t="shared" si="87"/>
        <v>0</v>
      </c>
      <c r="M256" s="14">
        <f t="shared" si="87"/>
        <v>0</v>
      </c>
      <c r="N256" s="14">
        <f t="shared" si="87"/>
        <v>0</v>
      </c>
      <c r="O256" s="14">
        <f t="shared" si="87"/>
        <v>10479.34</v>
      </c>
      <c r="P256" s="14">
        <f t="shared" si="87"/>
        <v>74266.3</v>
      </c>
      <c r="Q256" s="55">
        <f t="shared" si="84"/>
        <v>637085.2999999999</v>
      </c>
    </row>
    <row r="257" spans="1:17" ht="12">
      <c r="A257" s="11"/>
      <c r="B257" s="12"/>
      <c r="C257" s="13"/>
      <c r="D257" s="27"/>
      <c r="E257" s="10" t="s">
        <v>33</v>
      </c>
      <c r="F257" s="15">
        <f>133043.08+93782.25</f>
        <v>226825.33</v>
      </c>
      <c r="G257" s="10"/>
      <c r="H257" s="10">
        <v>7920</v>
      </c>
      <c r="I257" s="10"/>
      <c r="J257" s="10"/>
      <c r="K257" s="10">
        <v>30533.8</v>
      </c>
      <c r="L257" s="10"/>
      <c r="M257" s="10"/>
      <c r="N257" s="10"/>
      <c r="O257" s="10"/>
      <c r="P257" s="10">
        <v>44559.78</v>
      </c>
      <c r="Q257" s="29">
        <f t="shared" si="84"/>
        <v>309838.91000000003</v>
      </c>
    </row>
    <row r="258" spans="1:17" ht="12">
      <c r="A258" s="11"/>
      <c r="B258" s="12"/>
      <c r="C258" s="13"/>
      <c r="D258" s="27"/>
      <c r="E258" s="10" t="s">
        <v>34</v>
      </c>
      <c r="F258" s="10">
        <v>174538.21</v>
      </c>
      <c r="G258" s="10"/>
      <c r="H258" s="10">
        <v>18600</v>
      </c>
      <c r="I258" s="10"/>
      <c r="J258" s="10">
        <v>1920</v>
      </c>
      <c r="K258" s="15">
        <f>31579.76-19823.32</f>
        <v>11756.439999999999</v>
      </c>
      <c r="L258" s="10"/>
      <c r="M258" s="10"/>
      <c r="N258" s="10"/>
      <c r="O258" s="10">
        <v>10068.99</v>
      </c>
      <c r="P258" s="10">
        <v>44559.78</v>
      </c>
      <c r="Q258" s="29">
        <f t="shared" si="84"/>
        <v>261443.41999999998</v>
      </c>
    </row>
    <row r="259" spans="1:17" ht="12.75">
      <c r="A259" s="11"/>
      <c r="B259" s="12"/>
      <c r="C259" s="13"/>
      <c r="D259" s="27"/>
      <c r="E259" s="10" t="s">
        <v>35</v>
      </c>
      <c r="F259" s="10">
        <v>128351.81</v>
      </c>
      <c r="G259" s="10"/>
      <c r="H259" s="10">
        <v>12480</v>
      </c>
      <c r="I259" s="10"/>
      <c r="J259" s="10">
        <v>900</v>
      </c>
      <c r="K259" s="10"/>
      <c r="L259" s="10"/>
      <c r="M259" s="10"/>
      <c r="N259" s="10"/>
      <c r="O259" s="10"/>
      <c r="P259" s="18">
        <v>14853.26</v>
      </c>
      <c r="Q259" s="29">
        <f t="shared" si="84"/>
        <v>156585.07</v>
      </c>
    </row>
    <row r="260" spans="1:17" ht="12">
      <c r="A260" s="11"/>
      <c r="B260" s="12"/>
      <c r="C260" s="13"/>
      <c r="D260" s="27"/>
      <c r="E260" s="14" t="s">
        <v>36</v>
      </c>
      <c r="F260" s="14">
        <f aca="true" t="shared" si="88" ref="F260:P260">SUM(F257:F259)</f>
        <v>529715.35</v>
      </c>
      <c r="G260" s="14">
        <f t="shared" si="88"/>
        <v>0</v>
      </c>
      <c r="H260" s="14">
        <f t="shared" si="88"/>
        <v>39000</v>
      </c>
      <c r="I260" s="14">
        <f t="shared" si="88"/>
        <v>0</v>
      </c>
      <c r="J260" s="14">
        <f t="shared" si="88"/>
        <v>2820</v>
      </c>
      <c r="K260" s="14">
        <f t="shared" si="88"/>
        <v>42290.24</v>
      </c>
      <c r="L260" s="14">
        <f t="shared" si="88"/>
        <v>0</v>
      </c>
      <c r="M260" s="14">
        <f t="shared" si="88"/>
        <v>0</v>
      </c>
      <c r="N260" s="14">
        <f t="shared" si="88"/>
        <v>0</v>
      </c>
      <c r="O260" s="14">
        <f t="shared" si="88"/>
        <v>10068.99</v>
      </c>
      <c r="P260" s="14">
        <f t="shared" si="88"/>
        <v>103972.81999999999</v>
      </c>
      <c r="Q260" s="55">
        <f t="shared" si="84"/>
        <v>727867.3999999999</v>
      </c>
    </row>
    <row r="261" spans="1:17" ht="12.75" thickBot="1">
      <c r="A261" s="11"/>
      <c r="B261" s="12"/>
      <c r="C261" s="13"/>
      <c r="D261" s="27"/>
      <c r="E261" s="22" t="s">
        <v>37</v>
      </c>
      <c r="F261" s="22">
        <f aca="true" t="shared" si="89" ref="F261:Q261">F248+F252+F256+F260</f>
        <v>1626166.0699999998</v>
      </c>
      <c r="G261" s="22">
        <f t="shared" si="89"/>
        <v>0</v>
      </c>
      <c r="H261" s="22">
        <f t="shared" si="89"/>
        <v>169080</v>
      </c>
      <c r="I261" s="22">
        <f t="shared" si="89"/>
        <v>0</v>
      </c>
      <c r="J261" s="22">
        <f t="shared" si="89"/>
        <v>11040</v>
      </c>
      <c r="K261" s="22">
        <f t="shared" si="89"/>
        <v>391327.72</v>
      </c>
      <c r="L261" s="22">
        <f t="shared" si="89"/>
        <v>82364.94</v>
      </c>
      <c r="M261" s="22">
        <f t="shared" si="89"/>
        <v>0</v>
      </c>
      <c r="N261" s="22">
        <f t="shared" si="89"/>
        <v>0</v>
      </c>
      <c r="O261" s="22">
        <f t="shared" si="89"/>
        <v>41507.01</v>
      </c>
      <c r="P261" s="22">
        <f t="shared" si="89"/>
        <v>222798.9</v>
      </c>
      <c r="Q261" s="23">
        <f t="shared" si="89"/>
        <v>2544284.6399999997</v>
      </c>
    </row>
    <row r="262" spans="1:17" ht="12">
      <c r="A262" s="11">
        <v>16</v>
      </c>
      <c r="B262" s="12">
        <v>21</v>
      </c>
      <c r="C262" s="13" t="s">
        <v>66</v>
      </c>
      <c r="D262" s="27" t="s">
        <v>67</v>
      </c>
      <c r="E262" s="14" t="s">
        <v>21</v>
      </c>
      <c r="F262" s="10">
        <v>4050.44</v>
      </c>
      <c r="G262" s="10"/>
      <c r="H262" s="10">
        <v>480</v>
      </c>
      <c r="I262" s="10"/>
      <c r="J262" s="10"/>
      <c r="K262" s="10"/>
      <c r="L262" s="10"/>
      <c r="M262" s="10"/>
      <c r="N262" s="10"/>
      <c r="O262" s="10"/>
      <c r="P262" s="10"/>
      <c r="Q262" s="29">
        <f aca="true" t="shared" si="90" ref="Q262:Q277">SUM(F262:P262)</f>
        <v>4530.4400000000005</v>
      </c>
    </row>
    <row r="263" spans="1:17" ht="12">
      <c r="A263" s="11"/>
      <c r="B263" s="12"/>
      <c r="C263" s="13"/>
      <c r="D263" s="27"/>
      <c r="E263" s="14" t="s">
        <v>22</v>
      </c>
      <c r="F263" s="10">
        <v>5634.22</v>
      </c>
      <c r="G263" s="10"/>
      <c r="H263" s="10">
        <v>600</v>
      </c>
      <c r="I263" s="10"/>
      <c r="J263" s="10"/>
      <c r="K263" s="10"/>
      <c r="L263" s="10"/>
      <c r="M263" s="10"/>
      <c r="N263" s="10"/>
      <c r="O263" s="10"/>
      <c r="P263" s="10"/>
      <c r="Q263" s="29">
        <f t="shared" si="90"/>
        <v>6234.22</v>
      </c>
    </row>
    <row r="264" spans="1:17" ht="12">
      <c r="A264" s="11"/>
      <c r="B264" s="12"/>
      <c r="C264" s="13"/>
      <c r="D264" s="27"/>
      <c r="E264" s="10" t="s">
        <v>23</v>
      </c>
      <c r="F264" s="10">
        <v>5205.29</v>
      </c>
      <c r="G264" s="10"/>
      <c r="H264" s="10">
        <v>720</v>
      </c>
      <c r="I264" s="10"/>
      <c r="J264" s="10"/>
      <c r="K264" s="10">
        <v>1754.02</v>
      </c>
      <c r="L264" s="10"/>
      <c r="M264" s="10"/>
      <c r="N264" s="10"/>
      <c r="O264" s="10"/>
      <c r="P264" s="10"/>
      <c r="Q264" s="29">
        <f t="shared" si="90"/>
        <v>7679.3099999999995</v>
      </c>
    </row>
    <row r="265" spans="1:17" ht="12">
      <c r="A265" s="11"/>
      <c r="B265" s="12"/>
      <c r="C265" s="13"/>
      <c r="D265" s="27"/>
      <c r="E265" s="14" t="s">
        <v>24</v>
      </c>
      <c r="F265" s="14">
        <f aca="true" t="shared" si="91" ref="F265:P265">SUM(F262:F264)</f>
        <v>14889.95</v>
      </c>
      <c r="G265" s="14">
        <f t="shared" si="91"/>
        <v>0</v>
      </c>
      <c r="H265" s="14">
        <f t="shared" si="91"/>
        <v>1800</v>
      </c>
      <c r="I265" s="14">
        <f t="shared" si="91"/>
        <v>0</v>
      </c>
      <c r="J265" s="14">
        <f t="shared" si="91"/>
        <v>0</v>
      </c>
      <c r="K265" s="14">
        <f t="shared" si="91"/>
        <v>1754.02</v>
      </c>
      <c r="L265" s="14">
        <f t="shared" si="91"/>
        <v>0</v>
      </c>
      <c r="M265" s="14">
        <f t="shared" si="91"/>
        <v>0</v>
      </c>
      <c r="N265" s="14">
        <f t="shared" si="91"/>
        <v>0</v>
      </c>
      <c r="O265" s="14">
        <f t="shared" si="91"/>
        <v>0</v>
      </c>
      <c r="P265" s="14">
        <f t="shared" si="91"/>
        <v>0</v>
      </c>
      <c r="Q265" s="55">
        <f t="shared" si="90"/>
        <v>18443.97</v>
      </c>
    </row>
    <row r="266" spans="1:17" ht="12">
      <c r="A266" s="11"/>
      <c r="B266" s="12"/>
      <c r="C266" s="13"/>
      <c r="D266" s="27"/>
      <c r="E266" s="10" t="s">
        <v>25</v>
      </c>
      <c r="F266" s="10">
        <v>4656.03</v>
      </c>
      <c r="G266" s="10"/>
      <c r="H266" s="10">
        <v>480</v>
      </c>
      <c r="I266" s="10"/>
      <c r="J266" s="10"/>
      <c r="K266" s="10"/>
      <c r="L266" s="10"/>
      <c r="M266" s="10"/>
      <c r="N266" s="10"/>
      <c r="O266" s="10"/>
      <c r="P266" s="10"/>
      <c r="Q266" s="29">
        <f t="shared" si="90"/>
        <v>5136.03</v>
      </c>
    </row>
    <row r="267" spans="1:17" ht="12">
      <c r="A267" s="11"/>
      <c r="B267" s="12"/>
      <c r="C267" s="13"/>
      <c r="D267" s="27"/>
      <c r="E267" s="10" t="s">
        <v>26</v>
      </c>
      <c r="F267" s="10">
        <v>4500.59</v>
      </c>
      <c r="G267" s="10"/>
      <c r="H267" s="10">
        <v>600</v>
      </c>
      <c r="I267" s="10"/>
      <c r="J267" s="10"/>
      <c r="K267" s="10">
        <v>2066.16</v>
      </c>
      <c r="L267" s="10"/>
      <c r="M267" s="10"/>
      <c r="N267" s="10"/>
      <c r="O267" s="10"/>
      <c r="P267" s="10"/>
      <c r="Q267" s="29">
        <f t="shared" si="90"/>
        <v>7166.75</v>
      </c>
    </row>
    <row r="268" spans="1:17" ht="12">
      <c r="A268" s="11"/>
      <c r="B268" s="12"/>
      <c r="C268" s="13"/>
      <c r="D268" s="27"/>
      <c r="E268" s="10" t="s">
        <v>27</v>
      </c>
      <c r="F268" s="10">
        <v>6304.8</v>
      </c>
      <c r="G268" s="10"/>
      <c r="H268" s="10">
        <v>600</v>
      </c>
      <c r="I268" s="10"/>
      <c r="J268" s="10"/>
      <c r="K268" s="10"/>
      <c r="L268" s="10"/>
      <c r="M268" s="10"/>
      <c r="N268" s="10"/>
      <c r="O268" s="10"/>
      <c r="P268" s="10"/>
      <c r="Q268" s="29">
        <f t="shared" si="90"/>
        <v>6904.8</v>
      </c>
    </row>
    <row r="269" spans="1:17" ht="12">
      <c r="A269" s="11"/>
      <c r="B269" s="12"/>
      <c r="C269" s="13"/>
      <c r="D269" s="27"/>
      <c r="E269" s="14" t="s">
        <v>28</v>
      </c>
      <c r="F269" s="14">
        <f aca="true" t="shared" si="92" ref="F269:P269">SUM(F266:F268)</f>
        <v>15461.419999999998</v>
      </c>
      <c r="G269" s="14">
        <f t="shared" si="92"/>
        <v>0</v>
      </c>
      <c r="H269" s="14">
        <f t="shared" si="92"/>
        <v>1680</v>
      </c>
      <c r="I269" s="14">
        <f t="shared" si="92"/>
        <v>0</v>
      </c>
      <c r="J269" s="14">
        <f t="shared" si="92"/>
        <v>0</v>
      </c>
      <c r="K269" s="14">
        <f t="shared" si="92"/>
        <v>2066.16</v>
      </c>
      <c r="L269" s="14">
        <f t="shared" si="92"/>
        <v>0</v>
      </c>
      <c r="M269" s="14">
        <f t="shared" si="92"/>
        <v>0</v>
      </c>
      <c r="N269" s="14">
        <f t="shared" si="92"/>
        <v>0</v>
      </c>
      <c r="O269" s="14">
        <f t="shared" si="92"/>
        <v>0</v>
      </c>
      <c r="P269" s="14">
        <f t="shared" si="92"/>
        <v>0</v>
      </c>
      <c r="Q269" s="55">
        <f t="shared" si="90"/>
        <v>19207.579999999998</v>
      </c>
    </row>
    <row r="270" spans="1:17" ht="12">
      <c r="A270" s="11"/>
      <c r="B270" s="12"/>
      <c r="C270" s="13"/>
      <c r="D270" s="27"/>
      <c r="E270" s="10" t="s">
        <v>29</v>
      </c>
      <c r="F270" s="10">
        <v>4534.09</v>
      </c>
      <c r="G270" s="10"/>
      <c r="H270" s="10">
        <v>480</v>
      </c>
      <c r="I270" s="10"/>
      <c r="J270" s="10"/>
      <c r="K270" s="10"/>
      <c r="L270" s="10"/>
      <c r="M270" s="10"/>
      <c r="N270" s="10"/>
      <c r="O270" s="10"/>
      <c r="P270" s="10"/>
      <c r="Q270" s="29">
        <f t="shared" si="90"/>
        <v>5014.09</v>
      </c>
    </row>
    <row r="271" spans="1:17" ht="12">
      <c r="A271" s="11"/>
      <c r="B271" s="12"/>
      <c r="C271" s="13"/>
      <c r="D271" s="27"/>
      <c r="E271" s="10" t="s">
        <v>30</v>
      </c>
      <c r="F271" s="10">
        <v>2858.73</v>
      </c>
      <c r="G271" s="10"/>
      <c r="H271" s="16">
        <v>480</v>
      </c>
      <c r="I271" s="10"/>
      <c r="J271" s="10"/>
      <c r="K271" s="16">
        <v>1898.49</v>
      </c>
      <c r="L271" s="10"/>
      <c r="M271" s="10"/>
      <c r="N271" s="10"/>
      <c r="O271" s="10"/>
      <c r="P271" s="10"/>
      <c r="Q271" s="29">
        <f t="shared" si="90"/>
        <v>5237.22</v>
      </c>
    </row>
    <row r="272" spans="1:17" ht="12.75">
      <c r="A272" s="11"/>
      <c r="B272" s="12"/>
      <c r="C272" s="13"/>
      <c r="D272" s="27"/>
      <c r="E272" s="10" t="s">
        <v>31</v>
      </c>
      <c r="F272" s="10">
        <v>5730.02</v>
      </c>
      <c r="G272" s="10"/>
      <c r="H272" s="17">
        <v>480</v>
      </c>
      <c r="I272" s="10"/>
      <c r="J272" s="10"/>
      <c r="K272" s="17">
        <v>144.58</v>
      </c>
      <c r="L272" s="10"/>
      <c r="M272" s="10"/>
      <c r="N272" s="10"/>
      <c r="O272" s="10"/>
      <c r="P272" s="10"/>
      <c r="Q272" s="29">
        <f t="shared" si="90"/>
        <v>6354.6</v>
      </c>
    </row>
    <row r="273" spans="1:17" ht="12">
      <c r="A273" s="11"/>
      <c r="B273" s="12"/>
      <c r="C273" s="13"/>
      <c r="D273" s="27"/>
      <c r="E273" s="14" t="s">
        <v>32</v>
      </c>
      <c r="F273" s="14">
        <f aca="true" t="shared" si="93" ref="F273:P273">SUM(F270:F272)</f>
        <v>13122.84</v>
      </c>
      <c r="G273" s="14">
        <f t="shared" si="93"/>
        <v>0</v>
      </c>
      <c r="H273" s="14">
        <f t="shared" si="93"/>
        <v>1440</v>
      </c>
      <c r="I273" s="14">
        <f t="shared" si="93"/>
        <v>0</v>
      </c>
      <c r="J273" s="14">
        <f t="shared" si="93"/>
        <v>0</v>
      </c>
      <c r="K273" s="14">
        <f t="shared" si="93"/>
        <v>2043.07</v>
      </c>
      <c r="L273" s="14">
        <f t="shared" si="93"/>
        <v>0</v>
      </c>
      <c r="M273" s="14">
        <f t="shared" si="93"/>
        <v>0</v>
      </c>
      <c r="N273" s="14">
        <f t="shared" si="93"/>
        <v>0</v>
      </c>
      <c r="O273" s="14">
        <f t="shared" si="93"/>
        <v>0</v>
      </c>
      <c r="P273" s="14">
        <f t="shared" si="93"/>
        <v>0</v>
      </c>
      <c r="Q273" s="55">
        <f t="shared" si="90"/>
        <v>16605.91</v>
      </c>
    </row>
    <row r="274" spans="1:17" ht="12.75">
      <c r="A274" s="11"/>
      <c r="B274" s="12"/>
      <c r="C274" s="13"/>
      <c r="D274" s="27"/>
      <c r="E274" s="10" t="s">
        <v>33</v>
      </c>
      <c r="F274" s="10">
        <v>3162.94</v>
      </c>
      <c r="G274" s="10"/>
      <c r="H274" s="17">
        <v>360</v>
      </c>
      <c r="I274" s="10"/>
      <c r="J274" s="10"/>
      <c r="K274" s="17">
        <v>73.13</v>
      </c>
      <c r="L274" s="10"/>
      <c r="M274" s="10"/>
      <c r="N274" s="10"/>
      <c r="O274" s="10"/>
      <c r="P274" s="10"/>
      <c r="Q274" s="29">
        <f t="shared" si="90"/>
        <v>3596.07</v>
      </c>
    </row>
    <row r="275" spans="1:17" ht="12.75">
      <c r="A275" s="11"/>
      <c r="B275" s="12"/>
      <c r="C275" s="13"/>
      <c r="D275" s="27"/>
      <c r="E275" s="10" t="s">
        <v>34</v>
      </c>
      <c r="F275" s="10">
        <v>4087.39</v>
      </c>
      <c r="G275" s="10"/>
      <c r="H275" s="17">
        <v>720</v>
      </c>
      <c r="I275" s="10"/>
      <c r="J275" s="10"/>
      <c r="K275" s="17">
        <v>1743.36</v>
      </c>
      <c r="L275" s="10"/>
      <c r="M275" s="10"/>
      <c r="N275" s="10"/>
      <c r="O275" s="10"/>
      <c r="P275" s="10"/>
      <c r="Q275" s="29">
        <f t="shared" si="90"/>
        <v>6550.749999999999</v>
      </c>
    </row>
    <row r="276" spans="1:17" ht="12.75">
      <c r="A276" s="11"/>
      <c r="B276" s="12"/>
      <c r="C276" s="13"/>
      <c r="D276" s="27"/>
      <c r="E276" s="10" t="s">
        <v>35</v>
      </c>
      <c r="F276" s="10">
        <v>3239.19</v>
      </c>
      <c r="G276" s="10"/>
      <c r="H276" s="18">
        <v>240</v>
      </c>
      <c r="I276" s="10"/>
      <c r="J276" s="10"/>
      <c r="K276" s="10"/>
      <c r="L276" s="10"/>
      <c r="M276" s="10"/>
      <c r="N276" s="10"/>
      <c r="O276" s="10"/>
      <c r="P276" s="10"/>
      <c r="Q276" s="29">
        <f t="shared" si="90"/>
        <v>3479.19</v>
      </c>
    </row>
    <row r="277" spans="1:17" ht="12">
      <c r="A277" s="11"/>
      <c r="B277" s="12"/>
      <c r="C277" s="13"/>
      <c r="D277" s="27"/>
      <c r="E277" s="14" t="s">
        <v>36</v>
      </c>
      <c r="F277" s="14">
        <f aca="true" t="shared" si="94" ref="F277:P277">SUM(F274:F276)</f>
        <v>10489.52</v>
      </c>
      <c r="G277" s="14">
        <f t="shared" si="94"/>
        <v>0</v>
      </c>
      <c r="H277" s="14">
        <f t="shared" si="94"/>
        <v>1320</v>
      </c>
      <c r="I277" s="14">
        <f t="shared" si="94"/>
        <v>0</v>
      </c>
      <c r="J277" s="14">
        <f t="shared" si="94"/>
        <v>0</v>
      </c>
      <c r="K277" s="14">
        <f t="shared" si="94"/>
        <v>1816.4899999999998</v>
      </c>
      <c r="L277" s="14">
        <f t="shared" si="94"/>
        <v>0</v>
      </c>
      <c r="M277" s="14">
        <f t="shared" si="94"/>
        <v>0</v>
      </c>
      <c r="N277" s="14">
        <f t="shared" si="94"/>
        <v>0</v>
      </c>
      <c r="O277" s="14">
        <f t="shared" si="94"/>
        <v>0</v>
      </c>
      <c r="P277" s="14">
        <f t="shared" si="94"/>
        <v>0</v>
      </c>
      <c r="Q277" s="55">
        <f t="shared" si="90"/>
        <v>13626.01</v>
      </c>
    </row>
    <row r="278" spans="1:17" ht="12.75" thickBot="1">
      <c r="A278" s="11"/>
      <c r="B278" s="12"/>
      <c r="C278" s="13"/>
      <c r="D278" s="27"/>
      <c r="E278" s="22" t="s">
        <v>37</v>
      </c>
      <c r="F278" s="22">
        <f aca="true" t="shared" si="95" ref="F278:Q278">F265+F269+F273+F277</f>
        <v>53963.729999999996</v>
      </c>
      <c r="G278" s="22">
        <f t="shared" si="95"/>
        <v>0</v>
      </c>
      <c r="H278" s="22">
        <f t="shared" si="95"/>
        <v>6240</v>
      </c>
      <c r="I278" s="22">
        <f t="shared" si="95"/>
        <v>0</v>
      </c>
      <c r="J278" s="22">
        <f t="shared" si="95"/>
        <v>0</v>
      </c>
      <c r="K278" s="22">
        <f t="shared" si="95"/>
        <v>7679.74</v>
      </c>
      <c r="L278" s="22">
        <f t="shared" si="95"/>
        <v>0</v>
      </c>
      <c r="M278" s="22">
        <f t="shared" si="95"/>
        <v>0</v>
      </c>
      <c r="N278" s="22">
        <f t="shared" si="95"/>
        <v>0</v>
      </c>
      <c r="O278" s="22">
        <f t="shared" si="95"/>
        <v>0</v>
      </c>
      <c r="P278" s="22">
        <f t="shared" si="95"/>
        <v>0</v>
      </c>
      <c r="Q278" s="23">
        <f t="shared" si="95"/>
        <v>67883.47</v>
      </c>
    </row>
    <row r="279" spans="1:17" ht="12">
      <c r="A279" s="11">
        <v>17</v>
      </c>
      <c r="B279" s="12">
        <v>83</v>
      </c>
      <c r="C279" s="13" t="s">
        <v>68</v>
      </c>
      <c r="D279" s="27" t="s">
        <v>69</v>
      </c>
      <c r="E279" s="10" t="s">
        <v>21</v>
      </c>
      <c r="F279" s="10">
        <v>6171.73</v>
      </c>
      <c r="G279" s="10"/>
      <c r="H279" s="10">
        <v>360</v>
      </c>
      <c r="I279" s="10"/>
      <c r="J279" s="10"/>
      <c r="K279" s="10">
        <v>16368.45</v>
      </c>
      <c r="L279" s="10"/>
      <c r="M279" s="10"/>
      <c r="N279" s="10"/>
      <c r="O279" s="10"/>
      <c r="P279" s="10"/>
      <c r="Q279" s="29">
        <f aca="true" t="shared" si="96" ref="Q279:Q294">SUM(F279:P279)</f>
        <v>22900.18</v>
      </c>
    </row>
    <row r="280" spans="1:17" ht="12">
      <c r="A280" s="11"/>
      <c r="B280" s="12"/>
      <c r="C280" s="13"/>
      <c r="D280" s="27"/>
      <c r="E280" s="10" t="s">
        <v>22</v>
      </c>
      <c r="F280" s="10">
        <v>4553.33</v>
      </c>
      <c r="G280" s="10"/>
      <c r="H280" s="10">
        <v>240</v>
      </c>
      <c r="I280" s="10"/>
      <c r="J280" s="10"/>
      <c r="K280" s="10">
        <v>14977.26</v>
      </c>
      <c r="L280" s="10"/>
      <c r="M280" s="10"/>
      <c r="N280" s="10"/>
      <c r="O280" s="10"/>
      <c r="P280" s="10"/>
      <c r="Q280" s="29">
        <f t="shared" si="96"/>
        <v>19770.59</v>
      </c>
    </row>
    <row r="281" spans="1:17" ht="12">
      <c r="A281" s="11"/>
      <c r="B281" s="12"/>
      <c r="C281" s="13"/>
      <c r="D281" s="27"/>
      <c r="E281" s="10" t="s">
        <v>23</v>
      </c>
      <c r="F281" s="10">
        <v>9465.05</v>
      </c>
      <c r="G281" s="10"/>
      <c r="H281" s="10">
        <v>600</v>
      </c>
      <c r="I281" s="10"/>
      <c r="J281" s="10"/>
      <c r="K281" s="10">
        <v>963.3</v>
      </c>
      <c r="L281" s="10"/>
      <c r="M281" s="10"/>
      <c r="N281" s="10"/>
      <c r="O281" s="10"/>
      <c r="P281" s="10"/>
      <c r="Q281" s="29">
        <f t="shared" si="96"/>
        <v>11028.349999999999</v>
      </c>
    </row>
    <row r="282" spans="1:17" ht="12">
      <c r="A282" s="11"/>
      <c r="B282" s="12"/>
      <c r="C282" s="13"/>
      <c r="D282" s="27"/>
      <c r="E282" s="14" t="s">
        <v>24</v>
      </c>
      <c r="F282" s="14">
        <f aca="true" t="shared" si="97" ref="F282:P282">SUM(F279:F281)</f>
        <v>20190.11</v>
      </c>
      <c r="G282" s="14">
        <f t="shared" si="97"/>
        <v>0</v>
      </c>
      <c r="H282" s="14">
        <f t="shared" si="97"/>
        <v>1200</v>
      </c>
      <c r="I282" s="14">
        <f t="shared" si="97"/>
        <v>0</v>
      </c>
      <c r="J282" s="14">
        <f t="shared" si="97"/>
        <v>0</v>
      </c>
      <c r="K282" s="14">
        <f t="shared" si="97"/>
        <v>32309.01</v>
      </c>
      <c r="L282" s="14">
        <f t="shared" si="97"/>
        <v>0</v>
      </c>
      <c r="M282" s="14">
        <f t="shared" si="97"/>
        <v>0</v>
      </c>
      <c r="N282" s="14">
        <f t="shared" si="97"/>
        <v>0</v>
      </c>
      <c r="O282" s="14">
        <f t="shared" si="97"/>
        <v>0</v>
      </c>
      <c r="P282" s="14">
        <f t="shared" si="97"/>
        <v>0</v>
      </c>
      <c r="Q282" s="55">
        <f t="shared" si="96"/>
        <v>53699.119999999995</v>
      </c>
    </row>
    <row r="283" spans="1:17" ht="12">
      <c r="A283" s="11"/>
      <c r="B283" s="12"/>
      <c r="C283" s="13"/>
      <c r="D283" s="27"/>
      <c r="E283" s="10" t="s">
        <v>25</v>
      </c>
      <c r="F283" s="10">
        <v>5596.37</v>
      </c>
      <c r="G283" s="10"/>
      <c r="H283" s="10">
        <v>480</v>
      </c>
      <c r="I283" s="10"/>
      <c r="J283" s="10"/>
      <c r="K283" s="10">
        <v>15636.87</v>
      </c>
      <c r="L283" s="10"/>
      <c r="M283" s="10"/>
      <c r="N283" s="10"/>
      <c r="O283" s="10"/>
      <c r="P283" s="10"/>
      <c r="Q283" s="29">
        <f t="shared" si="96"/>
        <v>21713.24</v>
      </c>
    </row>
    <row r="284" spans="1:17" ht="12">
      <c r="A284" s="11"/>
      <c r="B284" s="12"/>
      <c r="C284" s="13"/>
      <c r="D284" s="27"/>
      <c r="E284" s="10" t="s">
        <v>26</v>
      </c>
      <c r="F284" s="10">
        <v>5636.05</v>
      </c>
      <c r="G284" s="10"/>
      <c r="H284" s="10">
        <v>360</v>
      </c>
      <c r="I284" s="10"/>
      <c r="J284" s="10"/>
      <c r="K284" s="10"/>
      <c r="L284" s="10"/>
      <c r="M284" s="10"/>
      <c r="N284" s="10"/>
      <c r="O284" s="10"/>
      <c r="P284" s="10"/>
      <c r="Q284" s="29">
        <f t="shared" si="96"/>
        <v>5996.05</v>
      </c>
    </row>
    <row r="285" spans="1:17" ht="12">
      <c r="A285" s="11"/>
      <c r="B285" s="12"/>
      <c r="C285" s="13"/>
      <c r="D285" s="27"/>
      <c r="E285" s="10" t="s">
        <v>27</v>
      </c>
      <c r="F285" s="10">
        <v>13953.04</v>
      </c>
      <c r="G285" s="10"/>
      <c r="H285" s="10">
        <v>960</v>
      </c>
      <c r="I285" s="10"/>
      <c r="J285" s="10"/>
      <c r="K285" s="10">
        <v>286.23</v>
      </c>
      <c r="L285" s="10"/>
      <c r="M285" s="10"/>
      <c r="N285" s="10"/>
      <c r="O285" s="10"/>
      <c r="P285" s="10"/>
      <c r="Q285" s="29">
        <f t="shared" si="96"/>
        <v>15199.27</v>
      </c>
    </row>
    <row r="286" spans="1:17" ht="12">
      <c r="A286" s="11"/>
      <c r="B286" s="12"/>
      <c r="C286" s="13"/>
      <c r="D286" s="27"/>
      <c r="E286" s="14" t="s">
        <v>28</v>
      </c>
      <c r="F286" s="14">
        <f aca="true" t="shared" si="98" ref="F286:P286">SUM(F283:F285)</f>
        <v>25185.46</v>
      </c>
      <c r="G286" s="14">
        <f t="shared" si="98"/>
        <v>0</v>
      </c>
      <c r="H286" s="14">
        <f t="shared" si="98"/>
        <v>1800</v>
      </c>
      <c r="I286" s="14">
        <f t="shared" si="98"/>
        <v>0</v>
      </c>
      <c r="J286" s="14">
        <f t="shared" si="98"/>
        <v>0</v>
      </c>
      <c r="K286" s="14">
        <f t="shared" si="98"/>
        <v>15923.1</v>
      </c>
      <c r="L286" s="14">
        <f t="shared" si="98"/>
        <v>0</v>
      </c>
      <c r="M286" s="14">
        <f t="shared" si="98"/>
        <v>0</v>
      </c>
      <c r="N286" s="14">
        <f t="shared" si="98"/>
        <v>0</v>
      </c>
      <c r="O286" s="14">
        <f t="shared" si="98"/>
        <v>0</v>
      </c>
      <c r="P286" s="14">
        <f t="shared" si="98"/>
        <v>0</v>
      </c>
      <c r="Q286" s="55">
        <f t="shared" si="96"/>
        <v>42908.56</v>
      </c>
    </row>
    <row r="287" spans="1:17" ht="12">
      <c r="A287" s="11"/>
      <c r="B287" s="12"/>
      <c r="C287" s="13"/>
      <c r="D287" s="27"/>
      <c r="E287" s="10" t="s">
        <v>29</v>
      </c>
      <c r="F287" s="10">
        <v>8212.91</v>
      </c>
      <c r="G287" s="10"/>
      <c r="H287" s="16">
        <v>480</v>
      </c>
      <c r="I287" s="10"/>
      <c r="J287" s="10"/>
      <c r="K287" s="16">
        <v>286.23</v>
      </c>
      <c r="L287" s="10"/>
      <c r="M287" s="10"/>
      <c r="N287" s="10"/>
      <c r="O287" s="10"/>
      <c r="P287" s="10"/>
      <c r="Q287" s="29">
        <f t="shared" si="96"/>
        <v>8979.14</v>
      </c>
    </row>
    <row r="288" spans="1:17" ht="12.75">
      <c r="A288" s="11"/>
      <c r="B288" s="12"/>
      <c r="C288" s="13"/>
      <c r="D288" s="27"/>
      <c r="E288" s="10" t="s">
        <v>30</v>
      </c>
      <c r="F288" s="10">
        <v>6786.61</v>
      </c>
      <c r="G288" s="10"/>
      <c r="H288" s="17">
        <v>360</v>
      </c>
      <c r="I288" s="10"/>
      <c r="J288" s="10"/>
      <c r="K288" s="17">
        <v>286.23</v>
      </c>
      <c r="L288" s="10"/>
      <c r="M288" s="10"/>
      <c r="N288" s="10"/>
      <c r="O288" s="10"/>
      <c r="P288" s="10"/>
      <c r="Q288" s="29">
        <f t="shared" si="96"/>
        <v>7432.84</v>
      </c>
    </row>
    <row r="289" spans="1:17" ht="12.75">
      <c r="A289" s="11"/>
      <c r="B289" s="12"/>
      <c r="C289" s="13"/>
      <c r="D289" s="27"/>
      <c r="E289" s="10" t="s">
        <v>31</v>
      </c>
      <c r="F289" s="10">
        <v>8714.95</v>
      </c>
      <c r="G289" s="10"/>
      <c r="H289" s="17">
        <v>516</v>
      </c>
      <c r="I289" s="10"/>
      <c r="J289" s="10"/>
      <c r="K289" s="17">
        <v>277.94</v>
      </c>
      <c r="L289" s="10"/>
      <c r="M289" s="10"/>
      <c r="N289" s="10"/>
      <c r="O289" s="10"/>
      <c r="P289" s="10"/>
      <c r="Q289" s="29">
        <f t="shared" si="96"/>
        <v>9508.890000000001</v>
      </c>
    </row>
    <row r="290" spans="1:17" ht="12">
      <c r="A290" s="11"/>
      <c r="B290" s="12"/>
      <c r="C290" s="13"/>
      <c r="D290" s="27"/>
      <c r="E290" s="14" t="s">
        <v>32</v>
      </c>
      <c r="F290" s="14">
        <f aca="true" t="shared" si="99" ref="F290:P290">SUM(F287:F289)</f>
        <v>23714.47</v>
      </c>
      <c r="G290" s="14">
        <f t="shared" si="99"/>
        <v>0</v>
      </c>
      <c r="H290" s="14">
        <f t="shared" si="99"/>
        <v>1356</v>
      </c>
      <c r="I290" s="14">
        <f t="shared" si="99"/>
        <v>0</v>
      </c>
      <c r="J290" s="14">
        <f t="shared" si="99"/>
        <v>0</v>
      </c>
      <c r="K290" s="14">
        <f t="shared" si="99"/>
        <v>850.4000000000001</v>
      </c>
      <c r="L290" s="14">
        <f t="shared" si="99"/>
        <v>0</v>
      </c>
      <c r="M290" s="14">
        <f t="shared" si="99"/>
        <v>0</v>
      </c>
      <c r="N290" s="14">
        <f t="shared" si="99"/>
        <v>0</v>
      </c>
      <c r="O290" s="14">
        <f t="shared" si="99"/>
        <v>0</v>
      </c>
      <c r="P290" s="14">
        <f t="shared" si="99"/>
        <v>0</v>
      </c>
      <c r="Q290" s="55">
        <f t="shared" si="96"/>
        <v>25920.870000000003</v>
      </c>
    </row>
    <row r="291" spans="1:17" ht="12.75">
      <c r="A291" s="11"/>
      <c r="B291" s="12"/>
      <c r="C291" s="13"/>
      <c r="D291" s="27"/>
      <c r="E291" s="10" t="s">
        <v>33</v>
      </c>
      <c r="F291" s="10">
        <v>9514.13</v>
      </c>
      <c r="G291" s="10"/>
      <c r="H291" s="17">
        <v>804</v>
      </c>
      <c r="I291" s="10"/>
      <c r="J291" s="10"/>
      <c r="K291" s="17">
        <v>236.45</v>
      </c>
      <c r="L291" s="10"/>
      <c r="M291" s="10"/>
      <c r="N291" s="10"/>
      <c r="O291" s="10"/>
      <c r="P291" s="10"/>
      <c r="Q291" s="29">
        <f t="shared" si="96"/>
        <v>10554.58</v>
      </c>
    </row>
    <row r="292" spans="1:17" ht="12.75">
      <c r="A292" s="11"/>
      <c r="B292" s="12"/>
      <c r="C292" s="13"/>
      <c r="D292" s="27"/>
      <c r="E292" s="10" t="s">
        <v>34</v>
      </c>
      <c r="F292" s="10">
        <v>9831.9</v>
      </c>
      <c r="G292" s="10"/>
      <c r="H292" s="17">
        <v>600</v>
      </c>
      <c r="I292" s="10"/>
      <c r="J292" s="10"/>
      <c r="K292" s="17">
        <v>236.45</v>
      </c>
      <c r="L292" s="10"/>
      <c r="M292" s="10"/>
      <c r="N292" s="10"/>
      <c r="O292" s="10"/>
      <c r="P292" s="10"/>
      <c r="Q292" s="29">
        <f t="shared" si="96"/>
        <v>10668.35</v>
      </c>
    </row>
    <row r="293" spans="1:17" ht="12.75">
      <c r="A293" s="11"/>
      <c r="B293" s="12"/>
      <c r="C293" s="13"/>
      <c r="D293" s="27"/>
      <c r="E293" s="10" t="s">
        <v>35</v>
      </c>
      <c r="F293" s="10">
        <v>10373.68</v>
      </c>
      <c r="G293" s="10"/>
      <c r="H293" s="18">
        <v>720</v>
      </c>
      <c r="I293" s="10"/>
      <c r="J293" s="10"/>
      <c r="K293" s="10"/>
      <c r="L293" s="10"/>
      <c r="M293" s="10"/>
      <c r="N293" s="10"/>
      <c r="O293" s="10"/>
      <c r="P293" s="10"/>
      <c r="Q293" s="29">
        <f t="shared" si="96"/>
        <v>11093.68</v>
      </c>
    </row>
    <row r="294" spans="1:17" ht="12">
      <c r="A294" s="11"/>
      <c r="B294" s="12"/>
      <c r="C294" s="13"/>
      <c r="D294" s="27"/>
      <c r="E294" s="14" t="s">
        <v>36</v>
      </c>
      <c r="F294" s="14">
        <f aca="true" t="shared" si="100" ref="F294:P294">SUM(F291:F293)</f>
        <v>29719.71</v>
      </c>
      <c r="G294" s="14">
        <f t="shared" si="100"/>
        <v>0</v>
      </c>
      <c r="H294" s="14">
        <f t="shared" si="100"/>
        <v>2124</v>
      </c>
      <c r="I294" s="14">
        <f t="shared" si="100"/>
        <v>0</v>
      </c>
      <c r="J294" s="14">
        <f t="shared" si="100"/>
        <v>0</v>
      </c>
      <c r="K294" s="14">
        <f t="shared" si="100"/>
        <v>472.9</v>
      </c>
      <c r="L294" s="14">
        <f t="shared" si="100"/>
        <v>0</v>
      </c>
      <c r="M294" s="14">
        <f t="shared" si="100"/>
        <v>0</v>
      </c>
      <c r="N294" s="14">
        <f t="shared" si="100"/>
        <v>0</v>
      </c>
      <c r="O294" s="14">
        <f t="shared" si="100"/>
        <v>0</v>
      </c>
      <c r="P294" s="14">
        <f t="shared" si="100"/>
        <v>0</v>
      </c>
      <c r="Q294" s="55">
        <f t="shared" si="96"/>
        <v>32316.61</v>
      </c>
    </row>
    <row r="295" spans="1:17" ht="12.75" thickBot="1">
      <c r="A295" s="11"/>
      <c r="B295" s="12"/>
      <c r="C295" s="13"/>
      <c r="D295" s="27"/>
      <c r="E295" s="22" t="s">
        <v>37</v>
      </c>
      <c r="F295" s="22">
        <f aca="true" t="shared" si="101" ref="F295:Q295">F282+F286+F290+F294</f>
        <v>98809.75</v>
      </c>
      <c r="G295" s="22">
        <f t="shared" si="101"/>
        <v>0</v>
      </c>
      <c r="H295" s="22">
        <f t="shared" si="101"/>
        <v>6480</v>
      </c>
      <c r="I295" s="22">
        <f t="shared" si="101"/>
        <v>0</v>
      </c>
      <c r="J295" s="22">
        <f t="shared" si="101"/>
        <v>0</v>
      </c>
      <c r="K295" s="22">
        <f t="shared" si="101"/>
        <v>49555.41</v>
      </c>
      <c r="L295" s="22">
        <f t="shared" si="101"/>
        <v>0</v>
      </c>
      <c r="M295" s="22">
        <f t="shared" si="101"/>
        <v>0</v>
      </c>
      <c r="N295" s="22">
        <f t="shared" si="101"/>
        <v>0</v>
      </c>
      <c r="O295" s="22">
        <f t="shared" si="101"/>
        <v>0</v>
      </c>
      <c r="P295" s="22">
        <f t="shared" si="101"/>
        <v>0</v>
      </c>
      <c r="Q295" s="23">
        <f t="shared" si="101"/>
        <v>154845.15999999997</v>
      </c>
    </row>
    <row r="296" spans="1:17" ht="12">
      <c r="A296" s="11">
        <v>18</v>
      </c>
      <c r="B296" s="12">
        <v>91</v>
      </c>
      <c r="C296" s="13" t="s">
        <v>70</v>
      </c>
      <c r="D296" s="27" t="s">
        <v>71</v>
      </c>
      <c r="E296" s="10" t="s">
        <v>21</v>
      </c>
      <c r="F296" s="10">
        <v>47373.63</v>
      </c>
      <c r="G296" s="10"/>
      <c r="H296" s="10">
        <v>4680</v>
      </c>
      <c r="I296" s="10"/>
      <c r="J296" s="10">
        <v>1200</v>
      </c>
      <c r="K296" s="10">
        <v>16160.03</v>
      </c>
      <c r="L296" s="10"/>
      <c r="M296" s="10"/>
      <c r="N296" s="10">
        <v>420.54</v>
      </c>
      <c r="O296" s="10">
        <v>4528.32</v>
      </c>
      <c r="P296" s="10">
        <v>14853.26</v>
      </c>
      <c r="Q296" s="29">
        <f aca="true" t="shared" si="102" ref="Q296:Q311">SUM(F296:P296)</f>
        <v>89215.77999999998</v>
      </c>
    </row>
    <row r="297" spans="1:17" ht="12">
      <c r="A297" s="11"/>
      <c r="B297" s="12"/>
      <c r="C297" s="13"/>
      <c r="D297" s="27"/>
      <c r="E297" s="10" t="s">
        <v>22</v>
      </c>
      <c r="F297" s="10">
        <v>76470.74</v>
      </c>
      <c r="G297" s="10"/>
      <c r="H297" s="10">
        <v>9360</v>
      </c>
      <c r="I297" s="10"/>
      <c r="J297" s="10">
        <v>420</v>
      </c>
      <c r="K297" s="10">
        <v>24007.91</v>
      </c>
      <c r="L297" s="10"/>
      <c r="M297" s="10"/>
      <c r="N297" s="10">
        <v>841.08</v>
      </c>
      <c r="O297" s="10">
        <v>2625.59</v>
      </c>
      <c r="P297" s="10">
        <v>14853.26</v>
      </c>
      <c r="Q297" s="29">
        <f t="shared" si="102"/>
        <v>128578.58</v>
      </c>
    </row>
    <row r="298" spans="1:17" ht="12">
      <c r="A298" s="11"/>
      <c r="B298" s="12"/>
      <c r="C298" s="13"/>
      <c r="D298" s="27"/>
      <c r="E298" s="10" t="s">
        <v>23</v>
      </c>
      <c r="F298" s="10">
        <v>76748.23</v>
      </c>
      <c r="G298" s="10"/>
      <c r="H298" s="10">
        <v>9240</v>
      </c>
      <c r="I298" s="10"/>
      <c r="J298" s="10">
        <v>420</v>
      </c>
      <c r="K298" s="10">
        <v>25186.06</v>
      </c>
      <c r="L298" s="10"/>
      <c r="M298" s="10"/>
      <c r="N298" s="15">
        <f>1261.62-1184.52</f>
        <v>77.09999999999991</v>
      </c>
      <c r="O298" s="10">
        <v>5146.8</v>
      </c>
      <c r="P298" s="10"/>
      <c r="Q298" s="29">
        <f t="shared" si="102"/>
        <v>116818.19</v>
      </c>
    </row>
    <row r="299" spans="1:17" ht="12">
      <c r="A299" s="11"/>
      <c r="B299" s="12"/>
      <c r="C299" s="13"/>
      <c r="D299" s="27"/>
      <c r="E299" s="14" t="s">
        <v>24</v>
      </c>
      <c r="F299" s="14">
        <f aca="true" t="shared" si="103" ref="F299:P299">SUM(F296:F298)</f>
        <v>200592.59999999998</v>
      </c>
      <c r="G299" s="14">
        <f t="shared" si="103"/>
        <v>0</v>
      </c>
      <c r="H299" s="14">
        <f t="shared" si="103"/>
        <v>23280</v>
      </c>
      <c r="I299" s="14">
        <f t="shared" si="103"/>
        <v>0</v>
      </c>
      <c r="J299" s="14">
        <f t="shared" si="103"/>
        <v>2040</v>
      </c>
      <c r="K299" s="14">
        <f t="shared" si="103"/>
        <v>65354</v>
      </c>
      <c r="L299" s="14">
        <f t="shared" si="103"/>
        <v>0</v>
      </c>
      <c r="M299" s="14">
        <f t="shared" si="103"/>
        <v>0</v>
      </c>
      <c r="N299" s="14">
        <f t="shared" si="103"/>
        <v>1338.72</v>
      </c>
      <c r="O299" s="14">
        <f t="shared" si="103"/>
        <v>12300.71</v>
      </c>
      <c r="P299" s="14">
        <f t="shared" si="103"/>
        <v>29706.52</v>
      </c>
      <c r="Q299" s="55">
        <f t="shared" si="102"/>
        <v>334612.55</v>
      </c>
    </row>
    <row r="300" spans="1:17" ht="12">
      <c r="A300" s="11"/>
      <c r="B300" s="12"/>
      <c r="C300" s="13"/>
      <c r="D300" s="27"/>
      <c r="E300" s="10" t="s">
        <v>25</v>
      </c>
      <c r="F300" s="10">
        <v>83607.61</v>
      </c>
      <c r="G300" s="10"/>
      <c r="H300" s="10">
        <v>9840</v>
      </c>
      <c r="I300" s="10"/>
      <c r="J300" s="10">
        <v>360</v>
      </c>
      <c r="K300" s="10">
        <v>35176.47</v>
      </c>
      <c r="L300" s="10"/>
      <c r="M300" s="10"/>
      <c r="N300" s="10">
        <f>1184.52+1261.62</f>
        <v>2446.14</v>
      </c>
      <c r="O300" s="10">
        <v>7276.27</v>
      </c>
      <c r="P300" s="10"/>
      <c r="Q300" s="29">
        <f t="shared" si="102"/>
        <v>138706.49</v>
      </c>
    </row>
    <row r="301" spans="1:17" ht="12">
      <c r="A301" s="11"/>
      <c r="B301" s="12"/>
      <c r="C301" s="13"/>
      <c r="D301" s="27"/>
      <c r="E301" s="10" t="s">
        <v>26</v>
      </c>
      <c r="F301" s="10">
        <v>93071.85</v>
      </c>
      <c r="G301" s="10"/>
      <c r="H301" s="10">
        <v>9600</v>
      </c>
      <c r="I301" s="10"/>
      <c r="J301" s="10">
        <v>1920</v>
      </c>
      <c r="K301" s="10">
        <v>32579.95</v>
      </c>
      <c r="L301" s="10"/>
      <c r="M301" s="10"/>
      <c r="N301" s="10">
        <v>420.54</v>
      </c>
      <c r="O301" s="10">
        <v>3350.07</v>
      </c>
      <c r="P301" s="10"/>
      <c r="Q301" s="29">
        <f t="shared" si="102"/>
        <v>140942.41000000003</v>
      </c>
    </row>
    <row r="302" spans="1:17" ht="12">
      <c r="A302" s="11"/>
      <c r="B302" s="12"/>
      <c r="C302" s="13"/>
      <c r="D302" s="27"/>
      <c r="E302" s="10" t="s">
        <v>27</v>
      </c>
      <c r="F302" s="15">
        <f>88342.96-88342.96</f>
        <v>0</v>
      </c>
      <c r="G302" s="10"/>
      <c r="H302" s="10">
        <v>9360</v>
      </c>
      <c r="I302" s="10"/>
      <c r="J302" s="10"/>
      <c r="K302" s="10">
        <v>12091.85</v>
      </c>
      <c r="L302" s="10"/>
      <c r="M302" s="10"/>
      <c r="N302" s="10">
        <v>1261.62</v>
      </c>
      <c r="O302" s="10">
        <v>6239.35</v>
      </c>
      <c r="P302" s="10"/>
      <c r="Q302" s="29">
        <f t="shared" si="102"/>
        <v>28952.82</v>
      </c>
    </row>
    <row r="303" spans="1:17" ht="12">
      <c r="A303" s="11"/>
      <c r="B303" s="12"/>
      <c r="C303" s="13"/>
      <c r="D303" s="27"/>
      <c r="E303" s="14" t="s">
        <v>28</v>
      </c>
      <c r="F303" s="14">
        <f aca="true" t="shared" si="104" ref="F303:P303">SUM(F300:F302)</f>
        <v>176679.46000000002</v>
      </c>
      <c r="G303" s="14">
        <f t="shared" si="104"/>
        <v>0</v>
      </c>
      <c r="H303" s="14">
        <f t="shared" si="104"/>
        <v>28800</v>
      </c>
      <c r="I303" s="14">
        <f t="shared" si="104"/>
        <v>0</v>
      </c>
      <c r="J303" s="14">
        <f t="shared" si="104"/>
        <v>2280</v>
      </c>
      <c r="K303" s="14">
        <f t="shared" si="104"/>
        <v>79848.27</v>
      </c>
      <c r="L303" s="14">
        <f t="shared" si="104"/>
        <v>0</v>
      </c>
      <c r="M303" s="14">
        <f t="shared" si="104"/>
        <v>0</v>
      </c>
      <c r="N303" s="14">
        <f t="shared" si="104"/>
        <v>4128.299999999999</v>
      </c>
      <c r="O303" s="14">
        <f t="shared" si="104"/>
        <v>16865.690000000002</v>
      </c>
      <c r="P303" s="14">
        <f t="shared" si="104"/>
        <v>0</v>
      </c>
      <c r="Q303" s="55">
        <f t="shared" si="102"/>
        <v>308601.72000000003</v>
      </c>
    </row>
    <row r="304" spans="1:17" ht="12">
      <c r="A304" s="11"/>
      <c r="B304" s="12"/>
      <c r="C304" s="13"/>
      <c r="D304" s="27"/>
      <c r="E304" s="10" t="s">
        <v>29</v>
      </c>
      <c r="F304" s="15">
        <f>88342.96+90759.65</f>
        <v>179102.61</v>
      </c>
      <c r="G304" s="10"/>
      <c r="H304" s="10">
        <v>9000</v>
      </c>
      <c r="I304" s="10"/>
      <c r="J304" s="16">
        <v>480</v>
      </c>
      <c r="K304" s="10">
        <v>16518.86</v>
      </c>
      <c r="L304" s="10"/>
      <c r="M304" s="10"/>
      <c r="N304" s="16">
        <v>841.08</v>
      </c>
      <c r="O304" s="10">
        <v>6225.33</v>
      </c>
      <c r="P304" s="16">
        <v>14853.26</v>
      </c>
      <c r="Q304" s="29">
        <f t="shared" si="102"/>
        <v>227021.13999999996</v>
      </c>
    </row>
    <row r="305" spans="1:17" ht="12">
      <c r="A305" s="11"/>
      <c r="B305" s="12"/>
      <c r="C305" s="13"/>
      <c r="D305" s="27"/>
      <c r="E305" s="10" t="s">
        <v>30</v>
      </c>
      <c r="F305" s="10">
        <v>103441.61</v>
      </c>
      <c r="G305" s="10"/>
      <c r="H305" s="10">
        <v>10080</v>
      </c>
      <c r="I305" s="10"/>
      <c r="J305" s="10"/>
      <c r="K305" s="10">
        <v>4442.21</v>
      </c>
      <c r="L305" s="10"/>
      <c r="M305" s="10"/>
      <c r="N305" s="10">
        <v>1682.16</v>
      </c>
      <c r="O305" s="10">
        <v>7575.89</v>
      </c>
      <c r="P305" s="10"/>
      <c r="Q305" s="29">
        <f t="shared" si="102"/>
        <v>127221.87000000001</v>
      </c>
    </row>
    <row r="306" spans="1:17" ht="12">
      <c r="A306" s="11"/>
      <c r="B306" s="12"/>
      <c r="C306" s="13"/>
      <c r="D306" s="27"/>
      <c r="E306" s="10" t="s">
        <v>31</v>
      </c>
      <c r="F306" s="15">
        <f>88266.42-88266.42</f>
        <v>0</v>
      </c>
      <c r="G306" s="10"/>
      <c r="H306" s="10">
        <v>8640</v>
      </c>
      <c r="I306" s="10"/>
      <c r="J306" s="10">
        <v>900</v>
      </c>
      <c r="K306" s="10">
        <v>6156.610000000001</v>
      </c>
      <c r="L306" s="10"/>
      <c r="M306" s="10"/>
      <c r="N306" s="10">
        <v>1261.6200000000001</v>
      </c>
      <c r="O306" s="10">
        <v>5842.04</v>
      </c>
      <c r="P306" s="10"/>
      <c r="Q306" s="29">
        <f t="shared" si="102"/>
        <v>22800.27</v>
      </c>
    </row>
    <row r="307" spans="1:17" ht="12">
      <c r="A307" s="11"/>
      <c r="B307" s="12"/>
      <c r="C307" s="13"/>
      <c r="D307" s="27"/>
      <c r="E307" s="14" t="s">
        <v>32</v>
      </c>
      <c r="F307" s="14">
        <f aca="true" t="shared" si="105" ref="F307:P307">SUM(F304:F306)</f>
        <v>282544.22</v>
      </c>
      <c r="G307" s="14">
        <f t="shared" si="105"/>
        <v>0</v>
      </c>
      <c r="H307" s="14">
        <f t="shared" si="105"/>
        <v>27720</v>
      </c>
      <c r="I307" s="14">
        <f t="shared" si="105"/>
        <v>0</v>
      </c>
      <c r="J307" s="14">
        <f t="shared" si="105"/>
        <v>1380</v>
      </c>
      <c r="K307" s="14">
        <f t="shared" si="105"/>
        <v>27117.68</v>
      </c>
      <c r="L307" s="14">
        <f t="shared" si="105"/>
        <v>0</v>
      </c>
      <c r="M307" s="14">
        <f t="shared" si="105"/>
        <v>0</v>
      </c>
      <c r="N307" s="14">
        <f t="shared" si="105"/>
        <v>3784.8600000000006</v>
      </c>
      <c r="O307" s="14">
        <f t="shared" si="105"/>
        <v>19643.260000000002</v>
      </c>
      <c r="P307" s="14">
        <f t="shared" si="105"/>
        <v>14853.26</v>
      </c>
      <c r="Q307" s="55">
        <f t="shared" si="102"/>
        <v>377043.27999999997</v>
      </c>
    </row>
    <row r="308" spans="1:17" ht="12">
      <c r="A308" s="11"/>
      <c r="B308" s="12"/>
      <c r="C308" s="13"/>
      <c r="D308" s="27"/>
      <c r="E308" s="10" t="s">
        <v>33</v>
      </c>
      <c r="F308" s="15">
        <f>88266.42+98777.94</f>
        <v>187044.36</v>
      </c>
      <c r="G308" s="10"/>
      <c r="H308" s="10">
        <v>9720</v>
      </c>
      <c r="I308" s="10"/>
      <c r="J308" s="10">
        <v>960</v>
      </c>
      <c r="K308" s="10">
        <v>7211.75</v>
      </c>
      <c r="L308" s="10"/>
      <c r="M308" s="10"/>
      <c r="N308" s="10">
        <v>1261.62</v>
      </c>
      <c r="O308" s="10">
        <v>6368.5</v>
      </c>
      <c r="P308" s="10"/>
      <c r="Q308" s="29">
        <f t="shared" si="102"/>
        <v>212566.22999999998</v>
      </c>
    </row>
    <row r="309" spans="1:17" ht="12.75">
      <c r="A309" s="11"/>
      <c r="B309" s="12"/>
      <c r="C309" s="13"/>
      <c r="D309" s="27"/>
      <c r="E309" s="10" t="s">
        <v>34</v>
      </c>
      <c r="F309" s="10">
        <v>99659.04</v>
      </c>
      <c r="G309" s="10"/>
      <c r="H309" s="10">
        <v>8880</v>
      </c>
      <c r="I309" s="10"/>
      <c r="J309" s="10"/>
      <c r="K309" s="10">
        <v>18890.33</v>
      </c>
      <c r="L309" s="10"/>
      <c r="M309" s="10"/>
      <c r="N309" s="10">
        <v>1261.62</v>
      </c>
      <c r="O309" s="17">
        <v>10865.97</v>
      </c>
      <c r="P309" s="17">
        <v>13426.33</v>
      </c>
      <c r="Q309" s="29">
        <f t="shared" si="102"/>
        <v>152983.28999999998</v>
      </c>
    </row>
    <row r="310" spans="1:17" ht="12">
      <c r="A310" s="11"/>
      <c r="B310" s="12"/>
      <c r="C310" s="13"/>
      <c r="D310" s="27"/>
      <c r="E310" s="10" t="s">
        <v>35</v>
      </c>
      <c r="F310" s="10">
        <v>95931.99</v>
      </c>
      <c r="G310" s="10"/>
      <c r="H310" s="10">
        <v>9120</v>
      </c>
      <c r="I310" s="10"/>
      <c r="J310" s="10"/>
      <c r="K310" s="10"/>
      <c r="L310" s="10"/>
      <c r="M310" s="10"/>
      <c r="N310" s="10">
        <v>841.08</v>
      </c>
      <c r="O310" s="15">
        <f>10346.8-4855.49</f>
        <v>5491.3099999999995</v>
      </c>
      <c r="P310" s="10"/>
      <c r="Q310" s="29">
        <f t="shared" si="102"/>
        <v>111384.38</v>
      </c>
    </row>
    <row r="311" spans="1:17" ht="12">
      <c r="A311" s="11"/>
      <c r="B311" s="12"/>
      <c r="C311" s="13"/>
      <c r="D311" s="27"/>
      <c r="E311" s="14" t="s">
        <v>36</v>
      </c>
      <c r="F311" s="14">
        <f aca="true" t="shared" si="106" ref="F311:P311">SUM(F308:F310)</f>
        <v>382635.38999999996</v>
      </c>
      <c r="G311" s="14">
        <f t="shared" si="106"/>
        <v>0</v>
      </c>
      <c r="H311" s="14">
        <f t="shared" si="106"/>
        <v>27720</v>
      </c>
      <c r="I311" s="14">
        <f t="shared" si="106"/>
        <v>0</v>
      </c>
      <c r="J311" s="14">
        <f t="shared" si="106"/>
        <v>960</v>
      </c>
      <c r="K311" s="14">
        <f t="shared" si="106"/>
        <v>26102.08</v>
      </c>
      <c r="L311" s="14">
        <f t="shared" si="106"/>
        <v>0</v>
      </c>
      <c r="M311" s="14">
        <f t="shared" si="106"/>
        <v>0</v>
      </c>
      <c r="N311" s="14">
        <f t="shared" si="106"/>
        <v>3364.3199999999997</v>
      </c>
      <c r="O311" s="14">
        <f t="shared" si="106"/>
        <v>22725.78</v>
      </c>
      <c r="P311" s="14">
        <f t="shared" si="106"/>
        <v>13426.33</v>
      </c>
      <c r="Q311" s="55">
        <f t="shared" si="102"/>
        <v>476933.89999999997</v>
      </c>
    </row>
    <row r="312" spans="1:17" ht="12.75" thickBot="1">
      <c r="A312" s="11"/>
      <c r="B312" s="12"/>
      <c r="C312" s="13"/>
      <c r="D312" s="27"/>
      <c r="E312" s="22" t="s">
        <v>37</v>
      </c>
      <c r="F312" s="22">
        <f aca="true" t="shared" si="107" ref="F312:Q312">F299+F303+F307+F311</f>
        <v>1042451.6699999999</v>
      </c>
      <c r="G312" s="22">
        <f t="shared" si="107"/>
        <v>0</v>
      </c>
      <c r="H312" s="22">
        <f t="shared" si="107"/>
        <v>107520</v>
      </c>
      <c r="I312" s="22">
        <f t="shared" si="107"/>
        <v>0</v>
      </c>
      <c r="J312" s="22">
        <f t="shared" si="107"/>
        <v>6660</v>
      </c>
      <c r="K312" s="22">
        <f t="shared" si="107"/>
        <v>198422.03000000003</v>
      </c>
      <c r="L312" s="22">
        <f t="shared" si="107"/>
        <v>0</v>
      </c>
      <c r="M312" s="22">
        <f t="shared" si="107"/>
        <v>0</v>
      </c>
      <c r="N312" s="22">
        <f t="shared" si="107"/>
        <v>12616.2</v>
      </c>
      <c r="O312" s="22">
        <f t="shared" si="107"/>
        <v>71535.44</v>
      </c>
      <c r="P312" s="22">
        <f t="shared" si="107"/>
        <v>57986.11</v>
      </c>
      <c r="Q312" s="23">
        <f t="shared" si="107"/>
        <v>1497191.45</v>
      </c>
    </row>
    <row r="313" spans="1:17" ht="12">
      <c r="A313" s="11">
        <v>19</v>
      </c>
      <c r="B313" s="12">
        <v>79</v>
      </c>
      <c r="C313" s="13" t="s">
        <v>72</v>
      </c>
      <c r="D313" s="27" t="s">
        <v>73</v>
      </c>
      <c r="E313" s="10" t="s">
        <v>21</v>
      </c>
      <c r="F313" s="10">
        <v>37197.52</v>
      </c>
      <c r="G313" s="10"/>
      <c r="H313" s="10">
        <v>3720</v>
      </c>
      <c r="I313" s="10"/>
      <c r="J313" s="10">
        <v>420</v>
      </c>
      <c r="K313" s="10">
        <v>15276.99</v>
      </c>
      <c r="L313" s="10"/>
      <c r="M313" s="10"/>
      <c r="N313" s="10">
        <v>420.54</v>
      </c>
      <c r="O313" s="10">
        <v>3911.13</v>
      </c>
      <c r="P313" s="10"/>
      <c r="Q313" s="29">
        <f aca="true" t="shared" si="108" ref="Q313:Q328">SUM(F313:P313)</f>
        <v>60946.17999999999</v>
      </c>
    </row>
    <row r="314" spans="1:17" ht="12">
      <c r="A314" s="11"/>
      <c r="B314" s="12"/>
      <c r="C314" s="13"/>
      <c r="D314" s="27"/>
      <c r="E314" s="10" t="s">
        <v>22</v>
      </c>
      <c r="F314" s="10">
        <v>33561.22</v>
      </c>
      <c r="G314" s="10"/>
      <c r="H314" s="10">
        <v>4200</v>
      </c>
      <c r="I314" s="10"/>
      <c r="J314" s="10"/>
      <c r="K314" s="10">
        <v>15279.6</v>
      </c>
      <c r="L314" s="10"/>
      <c r="M314" s="10"/>
      <c r="N314" s="10">
        <v>420.54</v>
      </c>
      <c r="O314" s="10">
        <v>3338.54</v>
      </c>
      <c r="P314" s="10"/>
      <c r="Q314" s="29">
        <f t="shared" si="108"/>
        <v>56799.9</v>
      </c>
    </row>
    <row r="315" spans="1:17" ht="12">
      <c r="A315" s="11"/>
      <c r="B315" s="12"/>
      <c r="C315" s="13"/>
      <c r="D315" s="27"/>
      <c r="E315" s="10" t="s">
        <v>23</v>
      </c>
      <c r="F315" s="10">
        <v>42860.39</v>
      </c>
      <c r="G315" s="10"/>
      <c r="H315" s="10">
        <v>5160</v>
      </c>
      <c r="I315" s="10"/>
      <c r="J315" s="10"/>
      <c r="K315" s="10">
        <v>2247.59</v>
      </c>
      <c r="L315" s="10"/>
      <c r="M315" s="10"/>
      <c r="N315" s="10">
        <v>420.54</v>
      </c>
      <c r="O315" s="10">
        <v>1839.21</v>
      </c>
      <c r="P315" s="10"/>
      <c r="Q315" s="29">
        <f t="shared" si="108"/>
        <v>52527.729999999996</v>
      </c>
    </row>
    <row r="316" spans="1:17" ht="12">
      <c r="A316" s="11"/>
      <c r="B316" s="12"/>
      <c r="C316" s="13"/>
      <c r="D316" s="27"/>
      <c r="E316" s="14" t="s">
        <v>24</v>
      </c>
      <c r="F316" s="14">
        <f aca="true" t="shared" si="109" ref="F316:P316">SUM(F313:F315)</f>
        <v>113619.12999999999</v>
      </c>
      <c r="G316" s="14">
        <f t="shared" si="109"/>
        <v>0</v>
      </c>
      <c r="H316" s="14">
        <f t="shared" si="109"/>
        <v>13080</v>
      </c>
      <c r="I316" s="14">
        <f t="shared" si="109"/>
        <v>0</v>
      </c>
      <c r="J316" s="14">
        <f t="shared" si="109"/>
        <v>420</v>
      </c>
      <c r="K316" s="14">
        <f t="shared" si="109"/>
        <v>32804.18</v>
      </c>
      <c r="L316" s="14">
        <f t="shared" si="109"/>
        <v>0</v>
      </c>
      <c r="M316" s="14">
        <f t="shared" si="109"/>
        <v>0</v>
      </c>
      <c r="N316" s="14">
        <f t="shared" si="109"/>
        <v>1261.6200000000001</v>
      </c>
      <c r="O316" s="14">
        <f t="shared" si="109"/>
        <v>9088.880000000001</v>
      </c>
      <c r="P316" s="14">
        <f t="shared" si="109"/>
        <v>0</v>
      </c>
      <c r="Q316" s="55">
        <f t="shared" si="108"/>
        <v>170273.81</v>
      </c>
    </row>
    <row r="317" spans="1:17" ht="12">
      <c r="A317" s="11"/>
      <c r="B317" s="12"/>
      <c r="C317" s="13"/>
      <c r="D317" s="27"/>
      <c r="E317" s="10" t="s">
        <v>25</v>
      </c>
      <c r="F317" s="10">
        <v>33444.02</v>
      </c>
      <c r="G317" s="10"/>
      <c r="H317" s="10">
        <v>4800</v>
      </c>
      <c r="I317" s="10"/>
      <c r="J317" s="10"/>
      <c r="K317" s="10">
        <v>3403.88</v>
      </c>
      <c r="L317" s="10"/>
      <c r="M317" s="10"/>
      <c r="N317" s="10">
        <v>420.54</v>
      </c>
      <c r="O317" s="10">
        <v>1839.21</v>
      </c>
      <c r="P317" s="10"/>
      <c r="Q317" s="29">
        <f t="shared" si="108"/>
        <v>43907.649999999994</v>
      </c>
    </row>
    <row r="318" spans="1:17" ht="12">
      <c r="A318" s="11"/>
      <c r="B318" s="12"/>
      <c r="C318" s="13"/>
      <c r="D318" s="27"/>
      <c r="E318" s="10" t="s">
        <v>26</v>
      </c>
      <c r="F318" s="10">
        <v>33418.72</v>
      </c>
      <c r="G318" s="10"/>
      <c r="H318" s="10">
        <v>3240</v>
      </c>
      <c r="I318" s="10"/>
      <c r="J318" s="10"/>
      <c r="K318" s="10">
        <v>1569.76</v>
      </c>
      <c r="L318" s="10"/>
      <c r="M318" s="10"/>
      <c r="N318" s="10">
        <v>420.54</v>
      </c>
      <c r="O318" s="10">
        <v>4114.94</v>
      </c>
      <c r="P318" s="10"/>
      <c r="Q318" s="29">
        <f t="shared" si="108"/>
        <v>42763.96000000001</v>
      </c>
    </row>
    <row r="319" spans="1:17" ht="12">
      <c r="A319" s="11"/>
      <c r="B319" s="12"/>
      <c r="C319" s="13"/>
      <c r="D319" s="27"/>
      <c r="E319" s="10" t="s">
        <v>27</v>
      </c>
      <c r="F319" s="10">
        <f>39901.37-39901.37</f>
        <v>0</v>
      </c>
      <c r="G319" s="10"/>
      <c r="H319" s="10">
        <v>4680</v>
      </c>
      <c r="I319" s="10"/>
      <c r="J319" s="10"/>
      <c r="K319" s="10">
        <v>1293.54</v>
      </c>
      <c r="L319" s="10"/>
      <c r="M319" s="10"/>
      <c r="N319" s="10">
        <v>841.08</v>
      </c>
      <c r="O319" s="10"/>
      <c r="P319" s="10"/>
      <c r="Q319" s="29">
        <f t="shared" si="108"/>
        <v>6814.62</v>
      </c>
    </row>
    <row r="320" spans="1:17" ht="12">
      <c r="A320" s="11"/>
      <c r="B320" s="12"/>
      <c r="C320" s="13"/>
      <c r="D320" s="27"/>
      <c r="E320" s="14" t="s">
        <v>28</v>
      </c>
      <c r="F320" s="14">
        <f aca="true" t="shared" si="110" ref="F320:P320">SUM(F317:F319)</f>
        <v>66862.73999999999</v>
      </c>
      <c r="G320" s="14">
        <f t="shared" si="110"/>
        <v>0</v>
      </c>
      <c r="H320" s="14">
        <f t="shared" si="110"/>
        <v>12720</v>
      </c>
      <c r="I320" s="14">
        <f t="shared" si="110"/>
        <v>0</v>
      </c>
      <c r="J320" s="14">
        <f t="shared" si="110"/>
        <v>0</v>
      </c>
      <c r="K320" s="14">
        <f t="shared" si="110"/>
        <v>6267.18</v>
      </c>
      <c r="L320" s="14">
        <f t="shared" si="110"/>
        <v>0</v>
      </c>
      <c r="M320" s="14">
        <f t="shared" si="110"/>
        <v>0</v>
      </c>
      <c r="N320" s="14">
        <f t="shared" si="110"/>
        <v>1682.16</v>
      </c>
      <c r="O320" s="14">
        <f t="shared" si="110"/>
        <v>5954.15</v>
      </c>
      <c r="P320" s="14">
        <f t="shared" si="110"/>
        <v>0</v>
      </c>
      <c r="Q320" s="55">
        <f t="shared" si="108"/>
        <v>93486.22999999998</v>
      </c>
    </row>
    <row r="321" spans="1:17" ht="12">
      <c r="A321" s="11"/>
      <c r="B321" s="12"/>
      <c r="C321" s="13"/>
      <c r="D321" s="27"/>
      <c r="E321" s="10" t="s">
        <v>29</v>
      </c>
      <c r="F321" s="15">
        <f>39901.37+40354.83</f>
        <v>80256.20000000001</v>
      </c>
      <c r="G321" s="10"/>
      <c r="H321" s="10">
        <v>4320</v>
      </c>
      <c r="I321" s="10"/>
      <c r="J321" s="16">
        <v>360</v>
      </c>
      <c r="K321" s="10">
        <v>1944.6</v>
      </c>
      <c r="L321" s="10"/>
      <c r="M321" s="10"/>
      <c r="N321" s="10"/>
      <c r="O321" s="10">
        <v>3527.34</v>
      </c>
      <c r="P321" s="10"/>
      <c r="Q321" s="29">
        <f t="shared" si="108"/>
        <v>90408.14000000001</v>
      </c>
    </row>
    <row r="322" spans="1:17" ht="12.75">
      <c r="A322" s="11"/>
      <c r="B322" s="12"/>
      <c r="C322" s="13"/>
      <c r="D322" s="27"/>
      <c r="E322" s="10" t="s">
        <v>30</v>
      </c>
      <c r="F322" s="10">
        <v>35182.47</v>
      </c>
      <c r="G322" s="10"/>
      <c r="H322" s="10">
        <v>4200</v>
      </c>
      <c r="I322" s="10"/>
      <c r="J322" s="17">
        <v>480</v>
      </c>
      <c r="K322" s="10">
        <v>982.07</v>
      </c>
      <c r="L322" s="10"/>
      <c r="M322" s="10"/>
      <c r="N322" s="17">
        <v>841.08</v>
      </c>
      <c r="O322" s="10">
        <v>2083.67</v>
      </c>
      <c r="P322" s="10"/>
      <c r="Q322" s="29">
        <f t="shared" si="108"/>
        <v>43769.29</v>
      </c>
    </row>
    <row r="323" spans="1:17" ht="12.75">
      <c r="A323" s="11"/>
      <c r="B323" s="12"/>
      <c r="C323" s="13"/>
      <c r="D323" s="27"/>
      <c r="E323" s="10" t="s">
        <v>31</v>
      </c>
      <c r="F323" s="15">
        <f>39016.58-39016.58</f>
        <v>0</v>
      </c>
      <c r="G323" s="10"/>
      <c r="H323" s="10">
        <v>5040</v>
      </c>
      <c r="I323" s="10"/>
      <c r="J323" s="10"/>
      <c r="K323" s="10">
        <v>4523.95</v>
      </c>
      <c r="L323" s="10"/>
      <c r="M323" s="10"/>
      <c r="N323" s="17">
        <v>420.54</v>
      </c>
      <c r="O323" s="17">
        <v>640</v>
      </c>
      <c r="P323" s="10"/>
      <c r="Q323" s="29">
        <f t="shared" si="108"/>
        <v>10624.490000000002</v>
      </c>
    </row>
    <row r="324" spans="1:17" ht="12">
      <c r="A324" s="11"/>
      <c r="B324" s="12"/>
      <c r="C324" s="13"/>
      <c r="D324" s="27"/>
      <c r="E324" s="14" t="s">
        <v>32</v>
      </c>
      <c r="F324" s="14">
        <f aca="true" t="shared" si="111" ref="F324:P324">SUM(F321:F323)</f>
        <v>115438.67000000001</v>
      </c>
      <c r="G324" s="14">
        <f t="shared" si="111"/>
        <v>0</v>
      </c>
      <c r="H324" s="14">
        <f t="shared" si="111"/>
        <v>13560</v>
      </c>
      <c r="I324" s="14">
        <f t="shared" si="111"/>
        <v>0</v>
      </c>
      <c r="J324" s="14">
        <f t="shared" si="111"/>
        <v>840</v>
      </c>
      <c r="K324" s="14">
        <f t="shared" si="111"/>
        <v>7450.62</v>
      </c>
      <c r="L324" s="14">
        <f t="shared" si="111"/>
        <v>0</v>
      </c>
      <c r="M324" s="14">
        <f t="shared" si="111"/>
        <v>0</v>
      </c>
      <c r="N324" s="14">
        <f t="shared" si="111"/>
        <v>1261.6200000000001</v>
      </c>
      <c r="O324" s="14">
        <f t="shared" si="111"/>
        <v>6251.01</v>
      </c>
      <c r="P324" s="14">
        <f t="shared" si="111"/>
        <v>0</v>
      </c>
      <c r="Q324" s="55">
        <f t="shared" si="108"/>
        <v>144801.92</v>
      </c>
    </row>
    <row r="325" spans="1:17" ht="12.75">
      <c r="A325" s="11"/>
      <c r="B325" s="12"/>
      <c r="C325" s="13"/>
      <c r="D325" s="27"/>
      <c r="E325" s="10" t="s">
        <v>33</v>
      </c>
      <c r="F325" s="15">
        <f>39016.58+35099.04</f>
        <v>74115.62</v>
      </c>
      <c r="G325" s="10"/>
      <c r="H325" s="10">
        <v>3840</v>
      </c>
      <c r="I325" s="10"/>
      <c r="J325" s="10"/>
      <c r="K325" s="17">
        <v>694.62</v>
      </c>
      <c r="L325" s="10"/>
      <c r="M325" s="10"/>
      <c r="N325" s="17">
        <v>420.54</v>
      </c>
      <c r="O325" s="10">
        <v>2083.67</v>
      </c>
      <c r="P325" s="10"/>
      <c r="Q325" s="29">
        <f t="shared" si="108"/>
        <v>81154.44999999998</v>
      </c>
    </row>
    <row r="326" spans="1:17" ht="12.75">
      <c r="A326" s="11"/>
      <c r="B326" s="12"/>
      <c r="C326" s="13"/>
      <c r="D326" s="27"/>
      <c r="E326" s="10" t="s">
        <v>34</v>
      </c>
      <c r="F326" s="10">
        <v>35840.41</v>
      </c>
      <c r="G326" s="10"/>
      <c r="H326" s="10">
        <v>4200</v>
      </c>
      <c r="I326" s="10"/>
      <c r="J326" s="17">
        <v>480</v>
      </c>
      <c r="K326" s="10">
        <v>9319.16</v>
      </c>
      <c r="L326" s="10"/>
      <c r="M326" s="10"/>
      <c r="N326" s="17">
        <v>420.54</v>
      </c>
      <c r="O326" s="10">
        <v>3527.34</v>
      </c>
      <c r="P326" s="10"/>
      <c r="Q326" s="29">
        <f t="shared" si="108"/>
        <v>53787.45000000001</v>
      </c>
    </row>
    <row r="327" spans="1:17" ht="12.75">
      <c r="A327" s="11"/>
      <c r="B327" s="12"/>
      <c r="C327" s="13"/>
      <c r="D327" s="27"/>
      <c r="E327" s="10" t="s">
        <v>35</v>
      </c>
      <c r="F327" s="10">
        <v>42156.65</v>
      </c>
      <c r="G327" s="10"/>
      <c r="H327" s="10">
        <v>4920</v>
      </c>
      <c r="I327" s="10"/>
      <c r="J327" s="18">
        <v>480</v>
      </c>
      <c r="K327" s="10"/>
      <c r="L327" s="10"/>
      <c r="M327" s="10"/>
      <c r="N327" s="18">
        <v>420.54</v>
      </c>
      <c r="O327" s="18">
        <v>640</v>
      </c>
      <c r="P327" s="10"/>
      <c r="Q327" s="29">
        <f t="shared" si="108"/>
        <v>48617.19</v>
      </c>
    </row>
    <row r="328" spans="1:17" ht="12">
      <c r="A328" s="11"/>
      <c r="B328" s="12"/>
      <c r="C328" s="13"/>
      <c r="D328" s="27"/>
      <c r="E328" s="14" t="s">
        <v>36</v>
      </c>
      <c r="F328" s="14">
        <f aca="true" t="shared" si="112" ref="F328:P328">SUM(F325:F327)</f>
        <v>152112.68</v>
      </c>
      <c r="G328" s="14">
        <f t="shared" si="112"/>
        <v>0</v>
      </c>
      <c r="H328" s="14">
        <f t="shared" si="112"/>
        <v>12960</v>
      </c>
      <c r="I328" s="14">
        <f t="shared" si="112"/>
        <v>0</v>
      </c>
      <c r="J328" s="14">
        <f t="shared" si="112"/>
        <v>960</v>
      </c>
      <c r="K328" s="14">
        <f t="shared" si="112"/>
        <v>10013.78</v>
      </c>
      <c r="L328" s="14">
        <f t="shared" si="112"/>
        <v>0</v>
      </c>
      <c r="M328" s="14">
        <f t="shared" si="112"/>
        <v>0</v>
      </c>
      <c r="N328" s="14">
        <f t="shared" si="112"/>
        <v>1261.6200000000001</v>
      </c>
      <c r="O328" s="14">
        <f t="shared" si="112"/>
        <v>6251.01</v>
      </c>
      <c r="P328" s="14">
        <f t="shared" si="112"/>
        <v>0</v>
      </c>
      <c r="Q328" s="55">
        <f t="shared" si="108"/>
        <v>183559.09</v>
      </c>
    </row>
    <row r="329" spans="1:17" ht="12.75" thickBot="1">
      <c r="A329" s="11"/>
      <c r="B329" s="12"/>
      <c r="C329" s="13"/>
      <c r="D329" s="27"/>
      <c r="E329" s="22" t="s">
        <v>37</v>
      </c>
      <c r="F329" s="22">
        <f aca="true" t="shared" si="113" ref="F329:Q329">F316+F320+F324+F328</f>
        <v>448033.22000000003</v>
      </c>
      <c r="G329" s="22">
        <f t="shared" si="113"/>
        <v>0</v>
      </c>
      <c r="H329" s="22">
        <f t="shared" si="113"/>
        <v>52320</v>
      </c>
      <c r="I329" s="22">
        <f t="shared" si="113"/>
        <v>0</v>
      </c>
      <c r="J329" s="22">
        <f t="shared" si="113"/>
        <v>2220</v>
      </c>
      <c r="K329" s="22">
        <f t="shared" si="113"/>
        <v>56535.76</v>
      </c>
      <c r="L329" s="22">
        <f t="shared" si="113"/>
        <v>0</v>
      </c>
      <c r="M329" s="22">
        <f t="shared" si="113"/>
        <v>0</v>
      </c>
      <c r="N329" s="22">
        <f t="shared" si="113"/>
        <v>5467.02</v>
      </c>
      <c r="O329" s="22">
        <f t="shared" si="113"/>
        <v>27545.050000000003</v>
      </c>
      <c r="P329" s="22">
        <f t="shared" si="113"/>
        <v>0</v>
      </c>
      <c r="Q329" s="23">
        <f t="shared" si="113"/>
        <v>592121.0499999999</v>
      </c>
    </row>
    <row r="330" spans="1:17" ht="12">
      <c r="A330" s="11">
        <v>20</v>
      </c>
      <c r="B330" s="12">
        <v>78</v>
      </c>
      <c r="C330" s="13" t="s">
        <v>74</v>
      </c>
      <c r="D330" s="27" t="s">
        <v>75</v>
      </c>
      <c r="E330" s="10" t="s">
        <v>21</v>
      </c>
      <c r="F330" s="10">
        <v>1027.78</v>
      </c>
      <c r="G330" s="10"/>
      <c r="H330" s="10"/>
      <c r="I330" s="10"/>
      <c r="J330" s="10"/>
      <c r="K330" s="10">
        <v>765.05</v>
      </c>
      <c r="L330" s="10"/>
      <c r="M330" s="10"/>
      <c r="N330" s="10"/>
      <c r="O330" s="10"/>
      <c r="P330" s="10"/>
      <c r="Q330" s="29">
        <f aca="true" t="shared" si="114" ref="Q330:Q345">SUM(F330:P330)</f>
        <v>1792.83</v>
      </c>
    </row>
    <row r="331" spans="1:17" ht="12">
      <c r="A331" s="11"/>
      <c r="B331" s="12"/>
      <c r="C331" s="13"/>
      <c r="D331" s="27"/>
      <c r="E331" s="10" t="s">
        <v>22</v>
      </c>
      <c r="F331" s="10">
        <v>6190.88</v>
      </c>
      <c r="G331" s="10"/>
      <c r="H331" s="10">
        <v>240</v>
      </c>
      <c r="I331" s="10"/>
      <c r="J331" s="10"/>
      <c r="K331" s="10">
        <v>2383.35</v>
      </c>
      <c r="L331" s="10"/>
      <c r="M331" s="10"/>
      <c r="N331" s="10"/>
      <c r="O331" s="10"/>
      <c r="P331" s="10"/>
      <c r="Q331" s="29">
        <f t="shared" si="114"/>
        <v>8814.23</v>
      </c>
    </row>
    <row r="332" spans="1:17" ht="12">
      <c r="A332" s="11"/>
      <c r="B332" s="12"/>
      <c r="C332" s="13"/>
      <c r="D332" s="27"/>
      <c r="E332" s="10" t="s">
        <v>23</v>
      </c>
      <c r="F332" s="10">
        <v>1228.35</v>
      </c>
      <c r="G332" s="10"/>
      <c r="H332" s="10">
        <v>1.2</v>
      </c>
      <c r="I332" s="10"/>
      <c r="J332" s="10"/>
      <c r="K332" s="10">
        <v>2383.35</v>
      </c>
      <c r="L332" s="10"/>
      <c r="M332" s="10"/>
      <c r="N332" s="10"/>
      <c r="O332" s="10"/>
      <c r="P332" s="10"/>
      <c r="Q332" s="29">
        <f t="shared" si="114"/>
        <v>3612.8999999999996</v>
      </c>
    </row>
    <row r="333" spans="1:17" ht="12">
      <c r="A333" s="11"/>
      <c r="B333" s="12"/>
      <c r="C333" s="13"/>
      <c r="D333" s="27"/>
      <c r="E333" s="14" t="s">
        <v>24</v>
      </c>
      <c r="F333" s="14">
        <f aca="true" t="shared" si="115" ref="F333:P333">SUM(F330:F332)</f>
        <v>8447.01</v>
      </c>
      <c r="G333" s="14">
        <f t="shared" si="115"/>
        <v>0</v>
      </c>
      <c r="H333" s="14">
        <f t="shared" si="115"/>
        <v>241.2</v>
      </c>
      <c r="I333" s="14">
        <f t="shared" si="115"/>
        <v>0</v>
      </c>
      <c r="J333" s="14">
        <f t="shared" si="115"/>
        <v>0</v>
      </c>
      <c r="K333" s="14">
        <f t="shared" si="115"/>
        <v>5531.75</v>
      </c>
      <c r="L333" s="14">
        <f t="shared" si="115"/>
        <v>0</v>
      </c>
      <c r="M333" s="14">
        <f t="shared" si="115"/>
        <v>0</v>
      </c>
      <c r="N333" s="14">
        <f t="shared" si="115"/>
        <v>0</v>
      </c>
      <c r="O333" s="14">
        <f t="shared" si="115"/>
        <v>0</v>
      </c>
      <c r="P333" s="14">
        <f t="shared" si="115"/>
        <v>0</v>
      </c>
      <c r="Q333" s="55">
        <f t="shared" si="114"/>
        <v>14219.960000000001</v>
      </c>
    </row>
    <row r="334" spans="1:17" ht="12">
      <c r="A334" s="11"/>
      <c r="B334" s="12"/>
      <c r="C334" s="13"/>
      <c r="D334" s="27"/>
      <c r="E334" s="10" t="s">
        <v>25</v>
      </c>
      <c r="F334" s="10">
        <v>1191.02</v>
      </c>
      <c r="G334" s="10"/>
      <c r="H334" s="10"/>
      <c r="I334" s="10"/>
      <c r="J334" s="10"/>
      <c r="K334" s="10">
        <v>3092.69</v>
      </c>
      <c r="L334" s="10"/>
      <c r="M334" s="10"/>
      <c r="N334" s="10"/>
      <c r="O334" s="10"/>
      <c r="P334" s="10"/>
      <c r="Q334" s="29">
        <f t="shared" si="114"/>
        <v>4283.71</v>
      </c>
    </row>
    <row r="335" spans="1:17" ht="12">
      <c r="A335" s="11"/>
      <c r="B335" s="12"/>
      <c r="C335" s="13"/>
      <c r="D335" s="27"/>
      <c r="E335" s="10" t="s">
        <v>26</v>
      </c>
      <c r="F335" s="10">
        <v>1450.13</v>
      </c>
      <c r="G335" s="10"/>
      <c r="H335" s="10"/>
      <c r="I335" s="10"/>
      <c r="J335" s="10"/>
      <c r="K335" s="10">
        <v>3270.31</v>
      </c>
      <c r="L335" s="10"/>
      <c r="M335" s="10"/>
      <c r="N335" s="10"/>
      <c r="O335" s="10"/>
      <c r="P335" s="10"/>
      <c r="Q335" s="29">
        <f t="shared" si="114"/>
        <v>4720.4400000000005</v>
      </c>
    </row>
    <row r="336" spans="1:17" ht="12">
      <c r="A336" s="11"/>
      <c r="B336" s="12"/>
      <c r="C336" s="13"/>
      <c r="D336" s="27"/>
      <c r="E336" s="10" t="s">
        <v>27</v>
      </c>
      <c r="F336" s="10">
        <v>2841.75</v>
      </c>
      <c r="G336" s="10"/>
      <c r="H336" s="10"/>
      <c r="I336" s="10"/>
      <c r="J336" s="10"/>
      <c r="K336" s="10">
        <v>7593.53</v>
      </c>
      <c r="L336" s="10"/>
      <c r="M336" s="10"/>
      <c r="N336" s="10"/>
      <c r="O336" s="10"/>
      <c r="P336" s="10"/>
      <c r="Q336" s="29">
        <f t="shared" si="114"/>
        <v>10435.279999999999</v>
      </c>
    </row>
    <row r="337" spans="1:17" ht="12">
      <c r="A337" s="11"/>
      <c r="B337" s="12"/>
      <c r="C337" s="13"/>
      <c r="D337" s="27"/>
      <c r="E337" s="14" t="s">
        <v>28</v>
      </c>
      <c r="F337" s="14">
        <f aca="true" t="shared" si="116" ref="F337:P337">SUM(F334:F336)</f>
        <v>5482.9</v>
      </c>
      <c r="G337" s="14">
        <f t="shared" si="116"/>
        <v>0</v>
      </c>
      <c r="H337" s="14">
        <f t="shared" si="116"/>
        <v>0</v>
      </c>
      <c r="I337" s="14">
        <f t="shared" si="116"/>
        <v>0</v>
      </c>
      <c r="J337" s="14">
        <f t="shared" si="116"/>
        <v>0</v>
      </c>
      <c r="K337" s="14">
        <f t="shared" si="116"/>
        <v>13956.529999999999</v>
      </c>
      <c r="L337" s="14">
        <f t="shared" si="116"/>
        <v>0</v>
      </c>
      <c r="M337" s="14">
        <f t="shared" si="116"/>
        <v>0</v>
      </c>
      <c r="N337" s="14">
        <f t="shared" si="116"/>
        <v>0</v>
      </c>
      <c r="O337" s="14">
        <f t="shared" si="116"/>
        <v>0</v>
      </c>
      <c r="P337" s="14">
        <f t="shared" si="116"/>
        <v>0</v>
      </c>
      <c r="Q337" s="55">
        <f t="shared" si="114"/>
        <v>19439.43</v>
      </c>
    </row>
    <row r="338" spans="1:17" ht="12">
      <c r="A338" s="11"/>
      <c r="B338" s="12"/>
      <c r="C338" s="13"/>
      <c r="D338" s="27"/>
      <c r="E338" s="10" t="s">
        <v>29</v>
      </c>
      <c r="F338" s="10">
        <v>864.75</v>
      </c>
      <c r="G338" s="10"/>
      <c r="H338" s="10"/>
      <c r="I338" s="10"/>
      <c r="J338" s="10"/>
      <c r="K338" s="16">
        <v>443.48</v>
      </c>
      <c r="L338" s="10"/>
      <c r="M338" s="10"/>
      <c r="N338" s="10"/>
      <c r="O338" s="10"/>
      <c r="P338" s="10"/>
      <c r="Q338" s="29">
        <f t="shared" si="114"/>
        <v>1308.23</v>
      </c>
    </row>
    <row r="339" spans="1:17" ht="12.75">
      <c r="A339" s="11"/>
      <c r="B339" s="12"/>
      <c r="C339" s="13"/>
      <c r="D339" s="27"/>
      <c r="E339" s="10" t="s">
        <v>30</v>
      </c>
      <c r="F339" s="17">
        <v>1833.26</v>
      </c>
      <c r="G339" s="10"/>
      <c r="H339" s="10"/>
      <c r="I339" s="10"/>
      <c r="J339" s="10"/>
      <c r="K339" s="17">
        <v>7150.05</v>
      </c>
      <c r="L339" s="10"/>
      <c r="M339" s="10"/>
      <c r="N339" s="10"/>
      <c r="O339" s="10"/>
      <c r="P339" s="10"/>
      <c r="Q339" s="29">
        <f t="shared" si="114"/>
        <v>8983.31</v>
      </c>
    </row>
    <row r="340" spans="1:17" ht="12">
      <c r="A340" s="11"/>
      <c r="B340" s="12"/>
      <c r="C340" s="13"/>
      <c r="D340" s="27"/>
      <c r="E340" s="10" t="s">
        <v>31</v>
      </c>
      <c r="F340" s="10">
        <v>3663.81</v>
      </c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29">
        <f t="shared" si="114"/>
        <v>3663.81</v>
      </c>
    </row>
    <row r="341" spans="1:17" ht="12">
      <c r="A341" s="11"/>
      <c r="B341" s="12"/>
      <c r="C341" s="13"/>
      <c r="D341" s="27"/>
      <c r="E341" s="14" t="s">
        <v>32</v>
      </c>
      <c r="F341" s="14">
        <f aca="true" t="shared" si="117" ref="F341:P341">SUM(F338:F340)</f>
        <v>6361.82</v>
      </c>
      <c r="G341" s="14">
        <f t="shared" si="117"/>
        <v>0</v>
      </c>
      <c r="H341" s="14">
        <f t="shared" si="117"/>
        <v>0</v>
      </c>
      <c r="I341" s="14">
        <f t="shared" si="117"/>
        <v>0</v>
      </c>
      <c r="J341" s="14">
        <f t="shared" si="117"/>
        <v>0</v>
      </c>
      <c r="K341" s="14">
        <f t="shared" si="117"/>
        <v>7593.530000000001</v>
      </c>
      <c r="L341" s="14">
        <f t="shared" si="117"/>
        <v>0</v>
      </c>
      <c r="M341" s="14">
        <f t="shared" si="117"/>
        <v>0</v>
      </c>
      <c r="N341" s="14">
        <f t="shared" si="117"/>
        <v>0</v>
      </c>
      <c r="O341" s="14">
        <f t="shared" si="117"/>
        <v>0</v>
      </c>
      <c r="P341" s="14">
        <f t="shared" si="117"/>
        <v>0</v>
      </c>
      <c r="Q341" s="55">
        <f t="shared" si="114"/>
        <v>13955.35</v>
      </c>
    </row>
    <row r="342" spans="1:17" ht="12.75">
      <c r="A342" s="11"/>
      <c r="B342" s="12"/>
      <c r="C342" s="13"/>
      <c r="D342" s="27"/>
      <c r="E342" s="10" t="s">
        <v>33</v>
      </c>
      <c r="F342" s="10">
        <v>965.02</v>
      </c>
      <c r="G342" s="10"/>
      <c r="H342" s="10"/>
      <c r="I342" s="10"/>
      <c r="J342" s="10"/>
      <c r="K342" s="17">
        <v>1588.79</v>
      </c>
      <c r="L342" s="10"/>
      <c r="M342" s="10"/>
      <c r="N342" s="10"/>
      <c r="O342" s="10"/>
      <c r="P342" s="10"/>
      <c r="Q342" s="29">
        <f t="shared" si="114"/>
        <v>2553.81</v>
      </c>
    </row>
    <row r="343" spans="1:17" ht="12">
      <c r="A343" s="11"/>
      <c r="B343" s="12"/>
      <c r="C343" s="13"/>
      <c r="D343" s="27"/>
      <c r="E343" s="10" t="s">
        <v>34</v>
      </c>
      <c r="F343" s="10">
        <v>2050.05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29">
        <f t="shared" si="114"/>
        <v>2050.05</v>
      </c>
    </row>
    <row r="344" spans="1:17" ht="12">
      <c r="A344" s="11"/>
      <c r="B344" s="12"/>
      <c r="C344" s="13"/>
      <c r="D344" s="27"/>
      <c r="E344" s="10" t="s">
        <v>35</v>
      </c>
      <c r="F344" s="10">
        <v>1243.94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29">
        <f t="shared" si="114"/>
        <v>1243.94</v>
      </c>
    </row>
    <row r="345" spans="1:17" ht="12">
      <c r="A345" s="11"/>
      <c r="B345" s="12"/>
      <c r="C345" s="13"/>
      <c r="D345" s="27"/>
      <c r="E345" s="14" t="s">
        <v>36</v>
      </c>
      <c r="F345" s="14">
        <f aca="true" t="shared" si="118" ref="F345:P345">SUM(F342:F344)</f>
        <v>4259.01</v>
      </c>
      <c r="G345" s="14">
        <f t="shared" si="118"/>
        <v>0</v>
      </c>
      <c r="H345" s="14">
        <f t="shared" si="118"/>
        <v>0</v>
      </c>
      <c r="I345" s="14">
        <f t="shared" si="118"/>
        <v>0</v>
      </c>
      <c r="J345" s="14">
        <f t="shared" si="118"/>
        <v>0</v>
      </c>
      <c r="K345" s="14">
        <f t="shared" si="118"/>
        <v>1588.79</v>
      </c>
      <c r="L345" s="14">
        <f t="shared" si="118"/>
        <v>0</v>
      </c>
      <c r="M345" s="14">
        <f t="shared" si="118"/>
        <v>0</v>
      </c>
      <c r="N345" s="14">
        <f t="shared" si="118"/>
        <v>0</v>
      </c>
      <c r="O345" s="14">
        <f t="shared" si="118"/>
        <v>0</v>
      </c>
      <c r="P345" s="14">
        <f t="shared" si="118"/>
        <v>0</v>
      </c>
      <c r="Q345" s="55">
        <f t="shared" si="114"/>
        <v>5847.8</v>
      </c>
    </row>
    <row r="346" spans="1:17" ht="12.75" thickBot="1">
      <c r="A346" s="11"/>
      <c r="B346" s="12"/>
      <c r="C346" s="13"/>
      <c r="D346" s="27"/>
      <c r="E346" s="22" t="s">
        <v>37</v>
      </c>
      <c r="F346" s="22">
        <f aca="true" t="shared" si="119" ref="F346:Q346">F333+F337+F341+F345</f>
        <v>24550.739999999998</v>
      </c>
      <c r="G346" s="22">
        <f t="shared" si="119"/>
        <v>0</v>
      </c>
      <c r="H346" s="22">
        <f t="shared" si="119"/>
        <v>241.2</v>
      </c>
      <c r="I346" s="22">
        <f t="shared" si="119"/>
        <v>0</v>
      </c>
      <c r="J346" s="22">
        <f t="shared" si="119"/>
        <v>0</v>
      </c>
      <c r="K346" s="22">
        <f t="shared" si="119"/>
        <v>28670.6</v>
      </c>
      <c r="L346" s="22">
        <f t="shared" si="119"/>
        <v>0</v>
      </c>
      <c r="M346" s="22">
        <f t="shared" si="119"/>
        <v>0</v>
      </c>
      <c r="N346" s="22">
        <f t="shared" si="119"/>
        <v>0</v>
      </c>
      <c r="O346" s="22">
        <f t="shared" si="119"/>
        <v>0</v>
      </c>
      <c r="P346" s="22">
        <f t="shared" si="119"/>
        <v>0</v>
      </c>
      <c r="Q346" s="23">
        <f t="shared" si="119"/>
        <v>53462.54</v>
      </c>
    </row>
    <row r="347" spans="1:17" ht="12">
      <c r="A347" s="11">
        <v>21</v>
      </c>
      <c r="B347" s="12">
        <v>73</v>
      </c>
      <c r="C347" s="13" t="s">
        <v>76</v>
      </c>
      <c r="D347" s="27" t="s">
        <v>77</v>
      </c>
      <c r="E347" s="10" t="s">
        <v>21</v>
      </c>
      <c r="F347" s="10">
        <v>4427.73</v>
      </c>
      <c r="G347" s="10"/>
      <c r="H347" s="10">
        <v>360</v>
      </c>
      <c r="I347" s="10"/>
      <c r="J347" s="10"/>
      <c r="K347" s="10"/>
      <c r="L347" s="10"/>
      <c r="M347" s="10"/>
      <c r="N347" s="10"/>
      <c r="O347" s="10"/>
      <c r="P347" s="10"/>
      <c r="Q347" s="29">
        <f aca="true" t="shared" si="120" ref="Q347:Q362">SUM(F347:P347)</f>
        <v>4787.73</v>
      </c>
    </row>
    <row r="348" spans="1:17" ht="12">
      <c r="A348" s="11"/>
      <c r="B348" s="12"/>
      <c r="C348" s="13"/>
      <c r="D348" s="27"/>
      <c r="E348" s="10" t="s">
        <v>22</v>
      </c>
      <c r="F348" s="10">
        <v>1252.77</v>
      </c>
      <c r="G348" s="10"/>
      <c r="H348" s="10"/>
      <c r="I348" s="10"/>
      <c r="J348" s="10"/>
      <c r="K348" s="10">
        <v>144.58</v>
      </c>
      <c r="L348" s="10"/>
      <c r="M348" s="10"/>
      <c r="N348" s="10"/>
      <c r="O348" s="10"/>
      <c r="P348" s="10"/>
      <c r="Q348" s="29">
        <f t="shared" si="120"/>
        <v>1397.35</v>
      </c>
    </row>
    <row r="349" spans="1:17" ht="12">
      <c r="A349" s="11"/>
      <c r="B349" s="12"/>
      <c r="C349" s="13"/>
      <c r="D349" s="27"/>
      <c r="E349" s="10" t="s">
        <v>23</v>
      </c>
      <c r="F349" s="10">
        <v>6749.14</v>
      </c>
      <c r="G349" s="10"/>
      <c r="H349" s="10">
        <v>360</v>
      </c>
      <c r="I349" s="10"/>
      <c r="J349" s="10"/>
      <c r="K349" s="10">
        <v>122.24</v>
      </c>
      <c r="L349" s="10"/>
      <c r="M349" s="10"/>
      <c r="N349" s="10"/>
      <c r="O349" s="10"/>
      <c r="P349" s="10"/>
      <c r="Q349" s="29">
        <f t="shared" si="120"/>
        <v>7231.38</v>
      </c>
    </row>
    <row r="350" spans="1:17" ht="12">
      <c r="A350" s="11"/>
      <c r="B350" s="12"/>
      <c r="C350" s="13"/>
      <c r="D350" s="27"/>
      <c r="E350" s="14" t="s">
        <v>24</v>
      </c>
      <c r="F350" s="14">
        <f aca="true" t="shared" si="121" ref="F350:P350">SUM(F347:F349)</f>
        <v>12429.64</v>
      </c>
      <c r="G350" s="14">
        <f t="shared" si="121"/>
        <v>0</v>
      </c>
      <c r="H350" s="14">
        <f t="shared" si="121"/>
        <v>720</v>
      </c>
      <c r="I350" s="14">
        <f t="shared" si="121"/>
        <v>0</v>
      </c>
      <c r="J350" s="14">
        <f t="shared" si="121"/>
        <v>0</v>
      </c>
      <c r="K350" s="14">
        <f t="shared" si="121"/>
        <v>266.82</v>
      </c>
      <c r="L350" s="14">
        <f t="shared" si="121"/>
        <v>0</v>
      </c>
      <c r="M350" s="14">
        <f t="shared" si="121"/>
        <v>0</v>
      </c>
      <c r="N350" s="14">
        <f t="shared" si="121"/>
        <v>0</v>
      </c>
      <c r="O350" s="14">
        <f t="shared" si="121"/>
        <v>0</v>
      </c>
      <c r="P350" s="14">
        <f t="shared" si="121"/>
        <v>0</v>
      </c>
      <c r="Q350" s="55">
        <f t="shared" si="120"/>
        <v>13416.46</v>
      </c>
    </row>
    <row r="351" spans="1:17" ht="12">
      <c r="A351" s="11"/>
      <c r="B351" s="12"/>
      <c r="C351" s="13"/>
      <c r="D351" s="27"/>
      <c r="E351" s="10" t="s">
        <v>25</v>
      </c>
      <c r="F351" s="10">
        <v>3651.61</v>
      </c>
      <c r="G351" s="10"/>
      <c r="H351" s="10">
        <v>360</v>
      </c>
      <c r="I351" s="10"/>
      <c r="J351" s="10"/>
      <c r="K351" s="10">
        <v>19918.13</v>
      </c>
      <c r="L351" s="10"/>
      <c r="M351" s="10"/>
      <c r="N351" s="10"/>
      <c r="O351" s="10"/>
      <c r="P351" s="10"/>
      <c r="Q351" s="29">
        <f t="shared" si="120"/>
        <v>23929.74</v>
      </c>
    </row>
    <row r="352" spans="1:17" ht="12">
      <c r="A352" s="11"/>
      <c r="B352" s="12"/>
      <c r="C352" s="13"/>
      <c r="D352" s="27"/>
      <c r="E352" s="10" t="s">
        <v>26</v>
      </c>
      <c r="F352" s="10">
        <v>3023.01</v>
      </c>
      <c r="G352" s="10"/>
      <c r="H352" s="10">
        <v>120</v>
      </c>
      <c r="I352" s="10"/>
      <c r="J352" s="10"/>
      <c r="K352" s="10">
        <v>1496.28</v>
      </c>
      <c r="L352" s="10"/>
      <c r="M352" s="10"/>
      <c r="N352" s="10"/>
      <c r="O352" s="10"/>
      <c r="P352" s="10"/>
      <c r="Q352" s="29">
        <f t="shared" si="120"/>
        <v>4639.29</v>
      </c>
    </row>
    <row r="353" spans="1:17" ht="12">
      <c r="A353" s="11"/>
      <c r="B353" s="12"/>
      <c r="C353" s="13"/>
      <c r="D353" s="27"/>
      <c r="E353" s="10" t="s">
        <v>27</v>
      </c>
      <c r="F353" s="10">
        <v>4180.08</v>
      </c>
      <c r="G353" s="10"/>
      <c r="H353" s="10">
        <v>360</v>
      </c>
      <c r="I353" s="10"/>
      <c r="J353" s="10"/>
      <c r="K353" s="10">
        <v>1490.41</v>
      </c>
      <c r="L353" s="10"/>
      <c r="M353" s="10"/>
      <c r="N353" s="10"/>
      <c r="O353" s="10"/>
      <c r="P353" s="10"/>
      <c r="Q353" s="29">
        <f t="shared" si="120"/>
        <v>6030.49</v>
      </c>
    </row>
    <row r="354" spans="1:17" ht="12">
      <c r="A354" s="11"/>
      <c r="B354" s="12"/>
      <c r="C354" s="13"/>
      <c r="D354" s="27"/>
      <c r="E354" s="14" t="s">
        <v>28</v>
      </c>
      <c r="F354" s="14">
        <f aca="true" t="shared" si="122" ref="F354:P354">SUM(F351:F353)</f>
        <v>10854.7</v>
      </c>
      <c r="G354" s="14">
        <f t="shared" si="122"/>
        <v>0</v>
      </c>
      <c r="H354" s="14">
        <f t="shared" si="122"/>
        <v>840</v>
      </c>
      <c r="I354" s="14">
        <f t="shared" si="122"/>
        <v>0</v>
      </c>
      <c r="J354" s="14">
        <f t="shared" si="122"/>
        <v>0</v>
      </c>
      <c r="K354" s="14">
        <f t="shared" si="122"/>
        <v>22904.82</v>
      </c>
      <c r="L354" s="14">
        <f t="shared" si="122"/>
        <v>0</v>
      </c>
      <c r="M354" s="14">
        <f t="shared" si="122"/>
        <v>0</v>
      </c>
      <c r="N354" s="14">
        <f t="shared" si="122"/>
        <v>0</v>
      </c>
      <c r="O354" s="14">
        <f t="shared" si="122"/>
        <v>0</v>
      </c>
      <c r="P354" s="14">
        <f t="shared" si="122"/>
        <v>0</v>
      </c>
      <c r="Q354" s="55">
        <f t="shared" si="120"/>
        <v>34599.520000000004</v>
      </c>
    </row>
    <row r="355" spans="1:17" ht="12">
      <c r="A355" s="11"/>
      <c r="B355" s="12"/>
      <c r="C355" s="13"/>
      <c r="D355" s="27"/>
      <c r="E355" s="10" t="s">
        <v>29</v>
      </c>
      <c r="F355" s="10">
        <v>4096.01</v>
      </c>
      <c r="G355" s="10"/>
      <c r="H355" s="16">
        <v>360</v>
      </c>
      <c r="I355" s="10"/>
      <c r="J355" s="10"/>
      <c r="K355" s="16">
        <v>6876.79</v>
      </c>
      <c r="L355" s="10"/>
      <c r="M355" s="10"/>
      <c r="N355" s="10"/>
      <c r="O355" s="10"/>
      <c r="P355" s="10"/>
      <c r="Q355" s="29">
        <f t="shared" si="120"/>
        <v>11332.8</v>
      </c>
    </row>
    <row r="356" spans="1:17" ht="12.75">
      <c r="A356" s="11"/>
      <c r="B356" s="12"/>
      <c r="C356" s="13"/>
      <c r="D356" s="27"/>
      <c r="E356" s="10" t="s">
        <v>30</v>
      </c>
      <c r="F356" s="10">
        <v>3064.86</v>
      </c>
      <c r="G356" s="10"/>
      <c r="H356" s="17">
        <v>120</v>
      </c>
      <c r="I356" s="10"/>
      <c r="J356" s="10"/>
      <c r="K356" s="17">
        <v>77.57</v>
      </c>
      <c r="L356" s="10"/>
      <c r="M356" s="10"/>
      <c r="N356" s="10"/>
      <c r="O356" s="10"/>
      <c r="P356" s="10"/>
      <c r="Q356" s="29">
        <f t="shared" si="120"/>
        <v>3262.4300000000003</v>
      </c>
    </row>
    <row r="357" spans="1:17" ht="12.75">
      <c r="A357" s="11"/>
      <c r="B357" s="12"/>
      <c r="C357" s="13"/>
      <c r="D357" s="27"/>
      <c r="E357" s="10" t="s">
        <v>31</v>
      </c>
      <c r="F357" s="10">
        <v>2272.55</v>
      </c>
      <c r="G357" s="10"/>
      <c r="H357" s="17">
        <v>240</v>
      </c>
      <c r="I357" s="10"/>
      <c r="J357" s="10"/>
      <c r="K357" s="17">
        <v>154.91</v>
      </c>
      <c r="L357" s="10"/>
      <c r="M357" s="10"/>
      <c r="N357" s="10"/>
      <c r="O357" s="10"/>
      <c r="P357" s="10"/>
      <c r="Q357" s="29">
        <f t="shared" si="120"/>
        <v>2667.46</v>
      </c>
    </row>
    <row r="358" spans="1:17" ht="12">
      <c r="A358" s="11"/>
      <c r="B358" s="12"/>
      <c r="C358" s="13"/>
      <c r="D358" s="27"/>
      <c r="E358" s="14" t="s">
        <v>32</v>
      </c>
      <c r="F358" s="14">
        <f aca="true" t="shared" si="123" ref="F358:P358">SUM(F355:F357)</f>
        <v>9433.420000000002</v>
      </c>
      <c r="G358" s="14">
        <f t="shared" si="123"/>
        <v>0</v>
      </c>
      <c r="H358" s="14">
        <f t="shared" si="123"/>
        <v>720</v>
      </c>
      <c r="I358" s="14">
        <f t="shared" si="123"/>
        <v>0</v>
      </c>
      <c r="J358" s="14">
        <f t="shared" si="123"/>
        <v>0</v>
      </c>
      <c r="K358" s="14">
        <f t="shared" si="123"/>
        <v>7109.2699999999995</v>
      </c>
      <c r="L358" s="14">
        <f t="shared" si="123"/>
        <v>0</v>
      </c>
      <c r="M358" s="14">
        <f t="shared" si="123"/>
        <v>0</v>
      </c>
      <c r="N358" s="14">
        <f t="shared" si="123"/>
        <v>0</v>
      </c>
      <c r="O358" s="14">
        <f t="shared" si="123"/>
        <v>0</v>
      </c>
      <c r="P358" s="14">
        <f t="shared" si="123"/>
        <v>0</v>
      </c>
      <c r="Q358" s="55">
        <f t="shared" si="120"/>
        <v>17262.690000000002</v>
      </c>
    </row>
    <row r="359" spans="1:17" ht="12.75">
      <c r="A359" s="11"/>
      <c r="B359" s="12"/>
      <c r="C359" s="13"/>
      <c r="D359" s="27"/>
      <c r="E359" s="10" t="s">
        <v>33</v>
      </c>
      <c r="F359" s="10">
        <v>4175.89</v>
      </c>
      <c r="G359" s="10"/>
      <c r="H359" s="17">
        <v>360</v>
      </c>
      <c r="I359" s="10"/>
      <c r="J359" s="10"/>
      <c r="K359" s="17">
        <v>77.57</v>
      </c>
      <c r="L359" s="10"/>
      <c r="M359" s="10"/>
      <c r="N359" s="10"/>
      <c r="O359" s="10"/>
      <c r="P359" s="10"/>
      <c r="Q359" s="29">
        <f t="shared" si="120"/>
        <v>4613.46</v>
      </c>
    </row>
    <row r="360" spans="1:17" ht="12.75">
      <c r="A360" s="11"/>
      <c r="B360" s="12"/>
      <c r="C360" s="13"/>
      <c r="D360" s="27"/>
      <c r="E360" s="10" t="s">
        <v>34</v>
      </c>
      <c r="F360" s="10">
        <v>1954.29</v>
      </c>
      <c r="G360" s="10"/>
      <c r="H360" s="17">
        <v>120</v>
      </c>
      <c r="I360" s="10"/>
      <c r="J360" s="10"/>
      <c r="K360" s="17">
        <v>155.14</v>
      </c>
      <c r="L360" s="10"/>
      <c r="M360" s="10"/>
      <c r="N360" s="10"/>
      <c r="O360" s="10"/>
      <c r="P360" s="10"/>
      <c r="Q360" s="29">
        <f t="shared" si="120"/>
        <v>2229.43</v>
      </c>
    </row>
    <row r="361" spans="1:17" ht="12.75">
      <c r="A361" s="11"/>
      <c r="B361" s="12"/>
      <c r="C361" s="13"/>
      <c r="D361" s="27"/>
      <c r="E361" s="10" t="s">
        <v>35</v>
      </c>
      <c r="F361" s="10">
        <v>5260.04</v>
      </c>
      <c r="G361" s="10"/>
      <c r="H361" s="18">
        <v>360</v>
      </c>
      <c r="I361" s="10"/>
      <c r="J361" s="10"/>
      <c r="K361" s="10"/>
      <c r="L361" s="10"/>
      <c r="M361" s="10"/>
      <c r="N361" s="10"/>
      <c r="O361" s="10"/>
      <c r="P361" s="10"/>
      <c r="Q361" s="29">
        <f t="shared" si="120"/>
        <v>5620.04</v>
      </c>
    </row>
    <row r="362" spans="1:17" ht="12">
      <c r="A362" s="11"/>
      <c r="B362" s="12"/>
      <c r="C362" s="13"/>
      <c r="D362" s="27"/>
      <c r="E362" s="14" t="s">
        <v>36</v>
      </c>
      <c r="F362" s="14">
        <f aca="true" t="shared" si="124" ref="F362:P362">SUM(F359:F361)</f>
        <v>11390.220000000001</v>
      </c>
      <c r="G362" s="14">
        <f t="shared" si="124"/>
        <v>0</v>
      </c>
      <c r="H362" s="14">
        <f t="shared" si="124"/>
        <v>840</v>
      </c>
      <c r="I362" s="14">
        <f t="shared" si="124"/>
        <v>0</v>
      </c>
      <c r="J362" s="14">
        <f t="shared" si="124"/>
        <v>0</v>
      </c>
      <c r="K362" s="14">
        <f t="shared" si="124"/>
        <v>232.70999999999998</v>
      </c>
      <c r="L362" s="14">
        <f t="shared" si="124"/>
        <v>0</v>
      </c>
      <c r="M362" s="14">
        <f t="shared" si="124"/>
        <v>0</v>
      </c>
      <c r="N362" s="14">
        <f t="shared" si="124"/>
        <v>0</v>
      </c>
      <c r="O362" s="14">
        <f t="shared" si="124"/>
        <v>0</v>
      </c>
      <c r="P362" s="14">
        <f t="shared" si="124"/>
        <v>0</v>
      </c>
      <c r="Q362" s="55">
        <f t="shared" si="120"/>
        <v>12462.93</v>
      </c>
    </row>
    <row r="363" spans="1:17" ht="12.75" thickBot="1">
      <c r="A363" s="11"/>
      <c r="B363" s="12"/>
      <c r="C363" s="13"/>
      <c r="D363" s="27"/>
      <c r="E363" s="22" t="s">
        <v>37</v>
      </c>
      <c r="F363" s="22">
        <f aca="true" t="shared" si="125" ref="F363:Q363">F350+F354+F358+F362</f>
        <v>44107.98</v>
      </c>
      <c r="G363" s="22">
        <f t="shared" si="125"/>
        <v>0</v>
      </c>
      <c r="H363" s="22">
        <f t="shared" si="125"/>
        <v>3120</v>
      </c>
      <c r="I363" s="22">
        <f t="shared" si="125"/>
        <v>0</v>
      </c>
      <c r="J363" s="22">
        <f t="shared" si="125"/>
        <v>0</v>
      </c>
      <c r="K363" s="22">
        <f t="shared" si="125"/>
        <v>30513.62</v>
      </c>
      <c r="L363" s="22">
        <f t="shared" si="125"/>
        <v>0</v>
      </c>
      <c r="M363" s="22">
        <f t="shared" si="125"/>
        <v>0</v>
      </c>
      <c r="N363" s="22">
        <f t="shared" si="125"/>
        <v>0</v>
      </c>
      <c r="O363" s="22">
        <f t="shared" si="125"/>
        <v>0</v>
      </c>
      <c r="P363" s="22">
        <f t="shared" si="125"/>
        <v>0</v>
      </c>
      <c r="Q363" s="23">
        <f t="shared" si="125"/>
        <v>77741.6</v>
      </c>
    </row>
    <row r="364" spans="1:17" ht="12">
      <c r="A364" s="11">
        <v>22</v>
      </c>
      <c r="B364" s="12">
        <v>60</v>
      </c>
      <c r="C364" s="13" t="s">
        <v>78</v>
      </c>
      <c r="D364" s="27" t="s">
        <v>79</v>
      </c>
      <c r="E364" s="10" t="s">
        <v>21</v>
      </c>
      <c r="F364" s="10">
        <v>5756.86</v>
      </c>
      <c r="G364" s="10"/>
      <c r="H364" s="10">
        <v>120</v>
      </c>
      <c r="I364" s="10"/>
      <c r="J364" s="10"/>
      <c r="K364" s="10">
        <v>246.12</v>
      </c>
      <c r="L364" s="10"/>
      <c r="M364" s="10"/>
      <c r="N364" s="10"/>
      <c r="O364" s="10">
        <v>4793.3</v>
      </c>
      <c r="P364" s="10"/>
      <c r="Q364" s="29">
        <f aca="true" t="shared" si="126" ref="Q364:Q379">SUM(F364:P364)</f>
        <v>10916.279999999999</v>
      </c>
    </row>
    <row r="365" spans="1:17" ht="12">
      <c r="A365" s="11"/>
      <c r="B365" s="12"/>
      <c r="C365" s="13"/>
      <c r="D365" s="27"/>
      <c r="E365" s="10" t="s">
        <v>22</v>
      </c>
      <c r="F365" s="10">
        <v>6103.63</v>
      </c>
      <c r="G365" s="10"/>
      <c r="H365" s="10">
        <v>120</v>
      </c>
      <c r="I365" s="10"/>
      <c r="J365" s="10"/>
      <c r="K365" s="10">
        <v>267.52</v>
      </c>
      <c r="L365" s="10"/>
      <c r="M365" s="10"/>
      <c r="N365" s="10"/>
      <c r="O365" s="10"/>
      <c r="P365" s="10"/>
      <c r="Q365" s="29">
        <f t="shared" si="126"/>
        <v>6491.15</v>
      </c>
    </row>
    <row r="366" spans="1:17" ht="12">
      <c r="A366" s="11"/>
      <c r="B366" s="12"/>
      <c r="C366" s="13"/>
      <c r="D366" s="27"/>
      <c r="E366" s="10" t="s">
        <v>23</v>
      </c>
      <c r="F366" s="10">
        <v>7379.49</v>
      </c>
      <c r="G366" s="10"/>
      <c r="H366" s="10">
        <v>120</v>
      </c>
      <c r="I366" s="10"/>
      <c r="J366" s="10"/>
      <c r="K366" s="15">
        <f>48.19-0.77</f>
        <v>47.419999999999995</v>
      </c>
      <c r="L366" s="10"/>
      <c r="M366" s="10"/>
      <c r="N366" s="10"/>
      <c r="O366" s="10"/>
      <c r="P366" s="10"/>
      <c r="Q366" s="29">
        <f t="shared" si="126"/>
        <v>7546.91</v>
      </c>
    </row>
    <row r="367" spans="1:17" ht="12">
      <c r="A367" s="11"/>
      <c r="B367" s="12"/>
      <c r="C367" s="13"/>
      <c r="D367" s="27"/>
      <c r="E367" s="14" t="s">
        <v>24</v>
      </c>
      <c r="F367" s="14">
        <f aca="true" t="shared" si="127" ref="F367:P367">SUM(F364:F366)</f>
        <v>19239.98</v>
      </c>
      <c r="G367" s="14">
        <f t="shared" si="127"/>
        <v>0</v>
      </c>
      <c r="H367" s="14">
        <f t="shared" si="127"/>
        <v>360</v>
      </c>
      <c r="I367" s="14">
        <f t="shared" si="127"/>
        <v>0</v>
      </c>
      <c r="J367" s="14">
        <f t="shared" si="127"/>
        <v>0</v>
      </c>
      <c r="K367" s="14">
        <f t="shared" si="127"/>
        <v>561.06</v>
      </c>
      <c r="L367" s="14">
        <f t="shared" si="127"/>
        <v>0</v>
      </c>
      <c r="M367" s="14">
        <f t="shared" si="127"/>
        <v>0</v>
      </c>
      <c r="N367" s="14">
        <f t="shared" si="127"/>
        <v>0</v>
      </c>
      <c r="O367" s="14">
        <f t="shared" si="127"/>
        <v>4793.3</v>
      </c>
      <c r="P367" s="14">
        <f t="shared" si="127"/>
        <v>0</v>
      </c>
      <c r="Q367" s="55">
        <f t="shared" si="126"/>
        <v>24954.34</v>
      </c>
    </row>
    <row r="368" spans="1:17" ht="12">
      <c r="A368" s="11"/>
      <c r="B368" s="12"/>
      <c r="C368" s="13"/>
      <c r="D368" s="27"/>
      <c r="E368" s="10" t="s">
        <v>25</v>
      </c>
      <c r="F368" s="10">
        <v>5062.31</v>
      </c>
      <c r="G368" s="10"/>
      <c r="H368" s="10"/>
      <c r="I368" s="10"/>
      <c r="J368" s="10"/>
      <c r="K368" s="10">
        <f>0.77+174.49</f>
        <v>175.26000000000002</v>
      </c>
      <c r="L368" s="10"/>
      <c r="M368" s="10"/>
      <c r="N368" s="10"/>
      <c r="O368" s="10">
        <v>4785.32</v>
      </c>
      <c r="P368" s="10"/>
      <c r="Q368" s="29">
        <f t="shared" si="126"/>
        <v>10022.89</v>
      </c>
    </row>
    <row r="369" spans="1:17" ht="12">
      <c r="A369" s="11"/>
      <c r="B369" s="12"/>
      <c r="C369" s="13"/>
      <c r="D369" s="27"/>
      <c r="E369" s="10" t="s">
        <v>26</v>
      </c>
      <c r="F369" s="10">
        <v>6043.81</v>
      </c>
      <c r="G369" s="10"/>
      <c r="H369" s="10">
        <v>240</v>
      </c>
      <c r="I369" s="10"/>
      <c r="J369" s="10"/>
      <c r="K369" s="10">
        <v>465.26</v>
      </c>
      <c r="L369" s="10"/>
      <c r="M369" s="10"/>
      <c r="N369" s="10"/>
      <c r="O369" s="10"/>
      <c r="P369" s="10"/>
      <c r="Q369" s="29">
        <f t="shared" si="126"/>
        <v>6749.070000000001</v>
      </c>
    </row>
    <row r="370" spans="1:17" ht="12">
      <c r="A370" s="11"/>
      <c r="B370" s="12"/>
      <c r="C370" s="13"/>
      <c r="D370" s="27"/>
      <c r="E370" s="10" t="s">
        <v>27</v>
      </c>
      <c r="F370" s="10">
        <v>6161.24</v>
      </c>
      <c r="G370" s="10"/>
      <c r="H370" s="10">
        <v>120</v>
      </c>
      <c r="I370" s="10"/>
      <c r="J370" s="10"/>
      <c r="K370" s="10">
        <v>1037.32</v>
      </c>
      <c r="L370" s="10"/>
      <c r="M370" s="10"/>
      <c r="N370" s="10"/>
      <c r="O370" s="10"/>
      <c r="P370" s="10"/>
      <c r="Q370" s="29">
        <f t="shared" si="126"/>
        <v>7318.5599999999995</v>
      </c>
    </row>
    <row r="371" spans="1:17" ht="12">
      <c r="A371" s="11"/>
      <c r="B371" s="12"/>
      <c r="C371" s="13"/>
      <c r="D371" s="27"/>
      <c r="E371" s="14" t="s">
        <v>28</v>
      </c>
      <c r="F371" s="14">
        <f aca="true" t="shared" si="128" ref="F371:P371">SUM(F368:F370)</f>
        <v>17267.36</v>
      </c>
      <c r="G371" s="14">
        <f t="shared" si="128"/>
        <v>0</v>
      </c>
      <c r="H371" s="14">
        <f t="shared" si="128"/>
        <v>360</v>
      </c>
      <c r="I371" s="14">
        <f t="shared" si="128"/>
        <v>0</v>
      </c>
      <c r="J371" s="14">
        <f t="shared" si="128"/>
        <v>0</v>
      </c>
      <c r="K371" s="14">
        <f t="shared" si="128"/>
        <v>1677.84</v>
      </c>
      <c r="L371" s="14">
        <f t="shared" si="128"/>
        <v>0</v>
      </c>
      <c r="M371" s="14">
        <f t="shared" si="128"/>
        <v>0</v>
      </c>
      <c r="N371" s="14">
        <f t="shared" si="128"/>
        <v>0</v>
      </c>
      <c r="O371" s="14">
        <f t="shared" si="128"/>
        <v>4785.32</v>
      </c>
      <c r="P371" s="14">
        <f t="shared" si="128"/>
        <v>0</v>
      </c>
      <c r="Q371" s="55">
        <f t="shared" si="126"/>
        <v>24090.52</v>
      </c>
    </row>
    <row r="372" spans="1:17" ht="12">
      <c r="A372" s="11"/>
      <c r="B372" s="12"/>
      <c r="C372" s="13"/>
      <c r="D372" s="27"/>
      <c r="E372" s="10" t="s">
        <v>29</v>
      </c>
      <c r="F372" s="10">
        <v>6415.39</v>
      </c>
      <c r="G372" s="10"/>
      <c r="H372" s="16">
        <v>240</v>
      </c>
      <c r="I372" s="10"/>
      <c r="J372" s="10"/>
      <c r="K372" s="16">
        <v>14744.73</v>
      </c>
      <c r="L372" s="10"/>
      <c r="M372" s="10"/>
      <c r="N372" s="10"/>
      <c r="O372" s="16">
        <v>4799.81</v>
      </c>
      <c r="P372" s="16">
        <v>11234.47</v>
      </c>
      <c r="Q372" s="29">
        <f t="shared" si="126"/>
        <v>37434.4</v>
      </c>
    </row>
    <row r="373" spans="1:17" ht="12.75">
      <c r="A373" s="11"/>
      <c r="B373" s="12"/>
      <c r="C373" s="13"/>
      <c r="D373" s="27"/>
      <c r="E373" s="10" t="s">
        <v>30</v>
      </c>
      <c r="F373" s="10">
        <v>8435.97</v>
      </c>
      <c r="G373" s="10"/>
      <c r="H373" s="17">
        <v>240</v>
      </c>
      <c r="I373" s="10"/>
      <c r="J373" s="10"/>
      <c r="K373" s="17">
        <v>320.92</v>
      </c>
      <c r="L373" s="10"/>
      <c r="M373" s="10"/>
      <c r="N373" s="10"/>
      <c r="O373" s="10"/>
      <c r="P373" s="17">
        <v>14853.26</v>
      </c>
      <c r="Q373" s="29">
        <f t="shared" si="126"/>
        <v>23850.15</v>
      </c>
    </row>
    <row r="374" spans="1:17" ht="12.75">
      <c r="A374" s="11"/>
      <c r="B374" s="12"/>
      <c r="C374" s="13"/>
      <c r="D374" s="27"/>
      <c r="E374" s="10" t="s">
        <v>31</v>
      </c>
      <c r="F374" s="17">
        <v>2742.96</v>
      </c>
      <c r="G374" s="10"/>
      <c r="H374" s="10"/>
      <c r="I374" s="10"/>
      <c r="J374" s="10"/>
      <c r="K374" s="17">
        <v>462.67</v>
      </c>
      <c r="L374" s="10"/>
      <c r="M374" s="10"/>
      <c r="N374" s="10"/>
      <c r="O374" s="10"/>
      <c r="P374" s="10"/>
      <c r="Q374" s="29">
        <f t="shared" si="126"/>
        <v>3205.63</v>
      </c>
    </row>
    <row r="375" spans="1:17" ht="12">
      <c r="A375" s="11"/>
      <c r="B375" s="12"/>
      <c r="C375" s="13"/>
      <c r="D375" s="27"/>
      <c r="E375" s="14" t="s">
        <v>32</v>
      </c>
      <c r="F375" s="14">
        <f aca="true" t="shared" si="129" ref="F375:P375">SUM(F372:F374)</f>
        <v>17594.32</v>
      </c>
      <c r="G375" s="14">
        <f t="shared" si="129"/>
        <v>0</v>
      </c>
      <c r="H375" s="14">
        <f t="shared" si="129"/>
        <v>480</v>
      </c>
      <c r="I375" s="14">
        <f t="shared" si="129"/>
        <v>0</v>
      </c>
      <c r="J375" s="14">
        <f t="shared" si="129"/>
        <v>0</v>
      </c>
      <c r="K375" s="14">
        <f t="shared" si="129"/>
        <v>15528.32</v>
      </c>
      <c r="L375" s="14">
        <f t="shared" si="129"/>
        <v>0</v>
      </c>
      <c r="M375" s="14">
        <f t="shared" si="129"/>
        <v>0</v>
      </c>
      <c r="N375" s="14">
        <f t="shared" si="129"/>
        <v>0</v>
      </c>
      <c r="O375" s="14">
        <f t="shared" si="129"/>
        <v>4799.81</v>
      </c>
      <c r="P375" s="14">
        <f t="shared" si="129"/>
        <v>26087.73</v>
      </c>
      <c r="Q375" s="55">
        <f t="shared" si="126"/>
        <v>64490.17999999999</v>
      </c>
    </row>
    <row r="376" spans="1:17" ht="12.75">
      <c r="A376" s="11"/>
      <c r="B376" s="12"/>
      <c r="C376" s="13"/>
      <c r="D376" s="27"/>
      <c r="E376" s="10" t="s">
        <v>33</v>
      </c>
      <c r="F376" s="17">
        <v>4191.93</v>
      </c>
      <c r="G376" s="10"/>
      <c r="H376" s="10"/>
      <c r="I376" s="10"/>
      <c r="J376" s="10"/>
      <c r="K376" s="17">
        <v>121.32</v>
      </c>
      <c r="L376" s="10"/>
      <c r="M376" s="10"/>
      <c r="N376" s="10"/>
      <c r="O376" s="17">
        <v>4799.8</v>
      </c>
      <c r="P376" s="17">
        <v>14853.26</v>
      </c>
      <c r="Q376" s="29">
        <f t="shared" si="126"/>
        <v>23966.309999999998</v>
      </c>
    </row>
    <row r="377" spans="1:17" ht="12.75">
      <c r="A377" s="11"/>
      <c r="B377" s="12"/>
      <c r="C377" s="13"/>
      <c r="D377" s="27"/>
      <c r="E377" s="10" t="s">
        <v>34</v>
      </c>
      <c r="F377" s="10">
        <v>10976.14</v>
      </c>
      <c r="G377" s="10"/>
      <c r="H377" s="17">
        <v>360</v>
      </c>
      <c r="I377" s="10"/>
      <c r="J377" s="10"/>
      <c r="K377" s="17">
        <v>1486.38</v>
      </c>
      <c r="L377" s="10"/>
      <c r="M377" s="10"/>
      <c r="N377" s="10"/>
      <c r="O377" s="17">
        <v>2697.47</v>
      </c>
      <c r="P377" s="10"/>
      <c r="Q377" s="29">
        <f t="shared" si="126"/>
        <v>15519.99</v>
      </c>
    </row>
    <row r="378" spans="1:17" ht="12.75">
      <c r="A378" s="11"/>
      <c r="B378" s="12"/>
      <c r="C378" s="13"/>
      <c r="D378" s="27"/>
      <c r="E378" s="10" t="s">
        <v>35</v>
      </c>
      <c r="F378" s="10">
        <v>7555.74</v>
      </c>
      <c r="G378" s="10"/>
      <c r="H378" s="18">
        <v>240</v>
      </c>
      <c r="I378" s="10"/>
      <c r="J378" s="10"/>
      <c r="K378" s="10"/>
      <c r="L378" s="10"/>
      <c r="M378" s="10"/>
      <c r="N378" s="10"/>
      <c r="O378" s="18">
        <v>1605.28</v>
      </c>
      <c r="P378" s="18">
        <v>26087.73</v>
      </c>
      <c r="Q378" s="29">
        <f t="shared" si="126"/>
        <v>35488.75</v>
      </c>
    </row>
    <row r="379" spans="1:17" ht="12">
      <c r="A379" s="11"/>
      <c r="B379" s="12"/>
      <c r="C379" s="13"/>
      <c r="D379" s="27"/>
      <c r="E379" s="14" t="s">
        <v>36</v>
      </c>
      <c r="F379" s="14">
        <f aca="true" t="shared" si="130" ref="F379:P379">SUM(F376:F378)</f>
        <v>22723.809999999998</v>
      </c>
      <c r="G379" s="14">
        <f t="shared" si="130"/>
        <v>0</v>
      </c>
      <c r="H379" s="14">
        <f t="shared" si="130"/>
        <v>600</v>
      </c>
      <c r="I379" s="14">
        <f t="shared" si="130"/>
        <v>0</v>
      </c>
      <c r="J379" s="14">
        <f t="shared" si="130"/>
        <v>0</v>
      </c>
      <c r="K379" s="14">
        <f t="shared" si="130"/>
        <v>1607.7</v>
      </c>
      <c r="L379" s="14">
        <f t="shared" si="130"/>
        <v>0</v>
      </c>
      <c r="M379" s="14">
        <f t="shared" si="130"/>
        <v>0</v>
      </c>
      <c r="N379" s="14">
        <f t="shared" si="130"/>
        <v>0</v>
      </c>
      <c r="O379" s="14">
        <f t="shared" si="130"/>
        <v>9102.550000000001</v>
      </c>
      <c r="P379" s="14">
        <f t="shared" si="130"/>
        <v>40940.99</v>
      </c>
      <c r="Q379" s="55">
        <f t="shared" si="126"/>
        <v>74975.04999999999</v>
      </c>
    </row>
    <row r="380" spans="1:17" ht="12.75" thickBot="1">
      <c r="A380" s="11"/>
      <c r="B380" s="12"/>
      <c r="C380" s="13"/>
      <c r="D380" s="27"/>
      <c r="E380" s="22" t="s">
        <v>37</v>
      </c>
      <c r="F380" s="22">
        <f aca="true" t="shared" si="131" ref="F380:Q380">F367+F371+F375+F379</f>
        <v>76825.47</v>
      </c>
      <c r="G380" s="22">
        <f t="shared" si="131"/>
        <v>0</v>
      </c>
      <c r="H380" s="22">
        <f t="shared" si="131"/>
        <v>1800</v>
      </c>
      <c r="I380" s="22">
        <f t="shared" si="131"/>
        <v>0</v>
      </c>
      <c r="J380" s="22">
        <f t="shared" si="131"/>
        <v>0</v>
      </c>
      <c r="K380" s="22">
        <f t="shared" si="131"/>
        <v>19374.920000000002</v>
      </c>
      <c r="L380" s="22">
        <f t="shared" si="131"/>
        <v>0</v>
      </c>
      <c r="M380" s="22">
        <f t="shared" si="131"/>
        <v>0</v>
      </c>
      <c r="N380" s="22">
        <f t="shared" si="131"/>
        <v>0</v>
      </c>
      <c r="O380" s="22">
        <f t="shared" si="131"/>
        <v>23480.980000000003</v>
      </c>
      <c r="P380" s="35">
        <f t="shared" si="131"/>
        <v>67028.72</v>
      </c>
      <c r="Q380" s="23">
        <f t="shared" si="131"/>
        <v>188510.08999999997</v>
      </c>
    </row>
    <row r="381" spans="1:17" ht="12">
      <c r="A381" s="11">
        <v>23</v>
      </c>
      <c r="B381" s="12">
        <v>75</v>
      </c>
      <c r="C381" s="13" t="s">
        <v>80</v>
      </c>
      <c r="D381" s="27" t="s">
        <v>81</v>
      </c>
      <c r="E381" s="10" t="s">
        <v>21</v>
      </c>
      <c r="F381" s="10">
        <v>2209.08</v>
      </c>
      <c r="G381" s="10"/>
      <c r="H381" s="10"/>
      <c r="I381" s="10"/>
      <c r="J381" s="10"/>
      <c r="K381" s="10"/>
      <c r="L381" s="10"/>
      <c r="M381" s="10"/>
      <c r="N381" s="10"/>
      <c r="O381" s="10">
        <v>1583.41</v>
      </c>
      <c r="P381" s="10"/>
      <c r="Q381" s="29">
        <f aca="true" t="shared" si="132" ref="Q381:Q396">SUM(F381:P381)</f>
        <v>3792.49</v>
      </c>
    </row>
    <row r="382" spans="1:17" ht="12">
      <c r="A382" s="11"/>
      <c r="B382" s="12"/>
      <c r="C382" s="13"/>
      <c r="D382" s="27"/>
      <c r="E382" s="10" t="s">
        <v>22</v>
      </c>
      <c r="F382" s="10">
        <v>1416.88</v>
      </c>
      <c r="G382" s="10"/>
      <c r="H382" s="10"/>
      <c r="I382" s="10"/>
      <c r="J382" s="10"/>
      <c r="K382" s="10"/>
      <c r="L382" s="10"/>
      <c r="M382" s="10"/>
      <c r="N382" s="10"/>
      <c r="O382" s="10">
        <v>661.29</v>
      </c>
      <c r="P382" s="10"/>
      <c r="Q382" s="29">
        <f t="shared" si="132"/>
        <v>2078.17</v>
      </c>
    </row>
    <row r="383" spans="1:17" ht="12">
      <c r="A383" s="11"/>
      <c r="B383" s="12"/>
      <c r="C383" s="13"/>
      <c r="D383" s="27"/>
      <c r="E383" s="10" t="s">
        <v>23</v>
      </c>
      <c r="F383" s="15">
        <f>1371.65-1371.65</f>
        <v>0</v>
      </c>
      <c r="G383" s="10"/>
      <c r="H383" s="10"/>
      <c r="I383" s="10"/>
      <c r="J383" s="10"/>
      <c r="K383" s="10">
        <v>1316.06</v>
      </c>
      <c r="L383" s="10"/>
      <c r="M383" s="10"/>
      <c r="N383" s="10"/>
      <c r="O383" s="10">
        <v>661.29</v>
      </c>
      <c r="P383" s="10"/>
      <c r="Q383" s="29">
        <f t="shared" si="132"/>
        <v>1977.35</v>
      </c>
    </row>
    <row r="384" spans="1:17" ht="12">
      <c r="A384" s="11"/>
      <c r="B384" s="12"/>
      <c r="C384" s="13"/>
      <c r="D384" s="27"/>
      <c r="E384" s="14" t="s">
        <v>24</v>
      </c>
      <c r="F384" s="14">
        <f aca="true" t="shared" si="133" ref="F384:P384">SUM(F381:F383)</f>
        <v>3625.96</v>
      </c>
      <c r="G384" s="14">
        <f t="shared" si="133"/>
        <v>0</v>
      </c>
      <c r="H384" s="14">
        <f t="shared" si="133"/>
        <v>0</v>
      </c>
      <c r="I384" s="14">
        <f t="shared" si="133"/>
        <v>0</v>
      </c>
      <c r="J384" s="14">
        <f t="shared" si="133"/>
        <v>0</v>
      </c>
      <c r="K384" s="14">
        <f t="shared" si="133"/>
        <v>1316.06</v>
      </c>
      <c r="L384" s="14">
        <f t="shared" si="133"/>
        <v>0</v>
      </c>
      <c r="M384" s="14">
        <f t="shared" si="133"/>
        <v>0</v>
      </c>
      <c r="N384" s="14">
        <f t="shared" si="133"/>
        <v>0</v>
      </c>
      <c r="O384" s="14">
        <f t="shared" si="133"/>
        <v>2905.99</v>
      </c>
      <c r="P384" s="14">
        <f t="shared" si="133"/>
        <v>0</v>
      </c>
      <c r="Q384" s="55">
        <f t="shared" si="132"/>
        <v>7848.01</v>
      </c>
    </row>
    <row r="385" spans="1:17" ht="12">
      <c r="A385" s="11"/>
      <c r="B385" s="12"/>
      <c r="C385" s="13"/>
      <c r="D385" s="27"/>
      <c r="E385" s="10" t="s">
        <v>25</v>
      </c>
      <c r="F385" s="10">
        <f>1371.65+3127.29</f>
        <v>4498.9400000000005</v>
      </c>
      <c r="G385" s="10"/>
      <c r="H385" s="10"/>
      <c r="I385" s="10"/>
      <c r="J385" s="10"/>
      <c r="K385" s="10"/>
      <c r="L385" s="10"/>
      <c r="M385" s="10"/>
      <c r="N385" s="10"/>
      <c r="O385" s="10">
        <v>2862.9</v>
      </c>
      <c r="P385" s="10"/>
      <c r="Q385" s="29">
        <f t="shared" si="132"/>
        <v>7361.84</v>
      </c>
    </row>
    <row r="386" spans="1:17" ht="12">
      <c r="A386" s="11"/>
      <c r="B386" s="12"/>
      <c r="C386" s="13"/>
      <c r="D386" s="27"/>
      <c r="E386" s="10" t="s">
        <v>26</v>
      </c>
      <c r="F386" s="10">
        <v>792.75</v>
      </c>
      <c r="G386" s="10"/>
      <c r="H386" s="10"/>
      <c r="I386" s="10"/>
      <c r="J386" s="10"/>
      <c r="K386" s="10"/>
      <c r="L386" s="10"/>
      <c r="M386" s="10"/>
      <c r="N386" s="10"/>
      <c r="O386" s="10">
        <v>1036.28</v>
      </c>
      <c r="P386" s="10"/>
      <c r="Q386" s="29">
        <f t="shared" si="132"/>
        <v>1829.03</v>
      </c>
    </row>
    <row r="387" spans="1:17" ht="12">
      <c r="A387" s="11"/>
      <c r="B387" s="12"/>
      <c r="C387" s="13"/>
      <c r="D387" s="27"/>
      <c r="E387" s="10" t="s">
        <v>27</v>
      </c>
      <c r="F387" s="10">
        <v>2005.72</v>
      </c>
      <c r="G387" s="10"/>
      <c r="H387" s="10"/>
      <c r="I387" s="10"/>
      <c r="J387" s="10"/>
      <c r="K387" s="10">
        <v>658.03</v>
      </c>
      <c r="L387" s="10"/>
      <c r="M387" s="10"/>
      <c r="N387" s="10"/>
      <c r="O387" s="10"/>
      <c r="P387" s="10"/>
      <c r="Q387" s="29">
        <f t="shared" si="132"/>
        <v>2663.75</v>
      </c>
    </row>
    <row r="388" spans="1:17" ht="12">
      <c r="A388" s="11"/>
      <c r="B388" s="12"/>
      <c r="C388" s="13"/>
      <c r="D388" s="27"/>
      <c r="E388" s="14" t="s">
        <v>28</v>
      </c>
      <c r="F388" s="14">
        <f aca="true" t="shared" si="134" ref="F388:P388">SUM(F385:F387)</f>
        <v>7297.410000000001</v>
      </c>
      <c r="G388" s="14">
        <f t="shared" si="134"/>
        <v>0</v>
      </c>
      <c r="H388" s="14">
        <f t="shared" si="134"/>
        <v>0</v>
      </c>
      <c r="I388" s="14">
        <f t="shared" si="134"/>
        <v>0</v>
      </c>
      <c r="J388" s="14">
        <f t="shared" si="134"/>
        <v>0</v>
      </c>
      <c r="K388" s="14">
        <f t="shared" si="134"/>
        <v>658.03</v>
      </c>
      <c r="L388" s="14">
        <f t="shared" si="134"/>
        <v>0</v>
      </c>
      <c r="M388" s="14">
        <f t="shared" si="134"/>
        <v>0</v>
      </c>
      <c r="N388" s="14">
        <f t="shared" si="134"/>
        <v>0</v>
      </c>
      <c r="O388" s="14">
        <f t="shared" si="134"/>
        <v>3899.1800000000003</v>
      </c>
      <c r="P388" s="14">
        <f t="shared" si="134"/>
        <v>0</v>
      </c>
      <c r="Q388" s="55">
        <f t="shared" si="132"/>
        <v>11854.62</v>
      </c>
    </row>
    <row r="389" spans="1:17" ht="12">
      <c r="A389" s="11"/>
      <c r="B389" s="12"/>
      <c r="C389" s="13"/>
      <c r="D389" s="27"/>
      <c r="E389" s="10" t="s">
        <v>29</v>
      </c>
      <c r="F389" s="10">
        <v>2169.38</v>
      </c>
      <c r="G389" s="10"/>
      <c r="H389" s="10"/>
      <c r="I389" s="10"/>
      <c r="J389" s="10"/>
      <c r="K389" s="16">
        <v>196.99</v>
      </c>
      <c r="L389" s="10"/>
      <c r="M389" s="10"/>
      <c r="N389" s="10"/>
      <c r="O389" s="10"/>
      <c r="P389" s="10"/>
      <c r="Q389" s="29">
        <f t="shared" si="132"/>
        <v>2366.37</v>
      </c>
    </row>
    <row r="390" spans="1:17" ht="12.75">
      <c r="A390" s="11"/>
      <c r="B390" s="12"/>
      <c r="C390" s="13"/>
      <c r="D390" s="27"/>
      <c r="E390" s="10" t="s">
        <v>30</v>
      </c>
      <c r="F390" s="10">
        <v>1049.16</v>
      </c>
      <c r="G390" s="10"/>
      <c r="H390" s="10"/>
      <c r="I390" s="10"/>
      <c r="J390" s="10"/>
      <c r="K390" s="10">
        <v>270.12</v>
      </c>
      <c r="L390" s="10"/>
      <c r="M390" s="10"/>
      <c r="N390" s="10"/>
      <c r="O390" s="17">
        <v>2201.63</v>
      </c>
      <c r="P390" s="10"/>
      <c r="Q390" s="29">
        <f t="shared" si="132"/>
        <v>3520.9100000000003</v>
      </c>
    </row>
    <row r="391" spans="1:17" ht="12.75">
      <c r="A391" s="11"/>
      <c r="B391" s="12"/>
      <c r="C391" s="13"/>
      <c r="D391" s="27"/>
      <c r="E391" s="10" t="s">
        <v>31</v>
      </c>
      <c r="F391" s="10">
        <v>1209.55</v>
      </c>
      <c r="G391" s="10"/>
      <c r="H391" s="10"/>
      <c r="I391" s="10"/>
      <c r="J391" s="10"/>
      <c r="K391" s="17">
        <v>380.84</v>
      </c>
      <c r="L391" s="10"/>
      <c r="M391" s="10"/>
      <c r="N391" s="10"/>
      <c r="O391" s="10"/>
      <c r="P391" s="10"/>
      <c r="Q391" s="29">
        <f t="shared" si="132"/>
        <v>1590.3899999999999</v>
      </c>
    </row>
    <row r="392" spans="1:17" ht="12">
      <c r="A392" s="11"/>
      <c r="B392" s="12"/>
      <c r="C392" s="13"/>
      <c r="D392" s="27"/>
      <c r="E392" s="14" t="s">
        <v>32</v>
      </c>
      <c r="F392" s="14">
        <f aca="true" t="shared" si="135" ref="F392:P392">SUM(F389:F391)</f>
        <v>4428.09</v>
      </c>
      <c r="G392" s="14">
        <f t="shared" si="135"/>
        <v>0</v>
      </c>
      <c r="H392" s="14">
        <f t="shared" si="135"/>
        <v>0</v>
      </c>
      <c r="I392" s="14">
        <f t="shared" si="135"/>
        <v>0</v>
      </c>
      <c r="J392" s="14">
        <f t="shared" si="135"/>
        <v>0</v>
      </c>
      <c r="K392" s="14">
        <f t="shared" si="135"/>
        <v>847.95</v>
      </c>
      <c r="L392" s="14">
        <f t="shared" si="135"/>
        <v>0</v>
      </c>
      <c r="M392" s="14">
        <f t="shared" si="135"/>
        <v>0</v>
      </c>
      <c r="N392" s="14">
        <f t="shared" si="135"/>
        <v>0</v>
      </c>
      <c r="O392" s="14">
        <f t="shared" si="135"/>
        <v>2201.63</v>
      </c>
      <c r="P392" s="14">
        <f t="shared" si="135"/>
        <v>0</v>
      </c>
      <c r="Q392" s="55">
        <f t="shared" si="132"/>
        <v>7477.67</v>
      </c>
    </row>
    <row r="393" spans="1:17" ht="12">
      <c r="A393" s="11"/>
      <c r="B393" s="12"/>
      <c r="C393" s="13"/>
      <c r="D393" s="27"/>
      <c r="E393" s="10" t="s">
        <v>33</v>
      </c>
      <c r="F393" s="10">
        <v>2299.98</v>
      </c>
      <c r="G393" s="10"/>
      <c r="H393" s="10"/>
      <c r="I393" s="10"/>
      <c r="J393" s="10"/>
      <c r="K393" s="10">
        <v>416.38</v>
      </c>
      <c r="L393" s="10"/>
      <c r="M393" s="10"/>
      <c r="N393" s="10"/>
      <c r="O393" s="10"/>
      <c r="P393" s="10"/>
      <c r="Q393" s="29">
        <f t="shared" si="132"/>
        <v>2716.36</v>
      </c>
    </row>
    <row r="394" spans="1:17" ht="12.75">
      <c r="A394" s="11"/>
      <c r="B394" s="12"/>
      <c r="C394" s="13"/>
      <c r="D394" s="27"/>
      <c r="E394" s="10" t="s">
        <v>34</v>
      </c>
      <c r="F394" s="10">
        <v>1422.38</v>
      </c>
      <c r="G394" s="10"/>
      <c r="H394" s="10"/>
      <c r="I394" s="10"/>
      <c r="J394" s="10"/>
      <c r="K394" s="17">
        <v>196.99</v>
      </c>
      <c r="L394" s="10"/>
      <c r="M394" s="10"/>
      <c r="N394" s="10"/>
      <c r="O394" s="17">
        <v>2201.61</v>
      </c>
      <c r="P394" s="10"/>
      <c r="Q394" s="29">
        <f t="shared" si="132"/>
        <v>3820.9800000000005</v>
      </c>
    </row>
    <row r="395" spans="1:17" ht="12">
      <c r="A395" s="11"/>
      <c r="B395" s="12"/>
      <c r="C395" s="13"/>
      <c r="D395" s="27"/>
      <c r="E395" s="10" t="s">
        <v>35</v>
      </c>
      <c r="F395" s="10">
        <v>1329.67</v>
      </c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29">
        <f t="shared" si="132"/>
        <v>1329.67</v>
      </c>
    </row>
    <row r="396" spans="1:17" ht="12">
      <c r="A396" s="11"/>
      <c r="B396" s="12"/>
      <c r="C396" s="13"/>
      <c r="D396" s="27"/>
      <c r="E396" s="14" t="s">
        <v>36</v>
      </c>
      <c r="F396" s="14">
        <f aca="true" t="shared" si="136" ref="F396:P396">SUM(F393:F395)</f>
        <v>5052.030000000001</v>
      </c>
      <c r="G396" s="14">
        <f t="shared" si="136"/>
        <v>0</v>
      </c>
      <c r="H396" s="14">
        <f t="shared" si="136"/>
        <v>0</v>
      </c>
      <c r="I396" s="14">
        <f t="shared" si="136"/>
        <v>0</v>
      </c>
      <c r="J396" s="14">
        <f t="shared" si="136"/>
        <v>0</v>
      </c>
      <c r="K396" s="14">
        <f t="shared" si="136"/>
        <v>613.37</v>
      </c>
      <c r="L396" s="14">
        <f t="shared" si="136"/>
        <v>0</v>
      </c>
      <c r="M396" s="14">
        <f t="shared" si="136"/>
        <v>0</v>
      </c>
      <c r="N396" s="14">
        <f t="shared" si="136"/>
        <v>0</v>
      </c>
      <c r="O396" s="14">
        <f t="shared" si="136"/>
        <v>2201.61</v>
      </c>
      <c r="P396" s="14">
        <f t="shared" si="136"/>
        <v>0</v>
      </c>
      <c r="Q396" s="55">
        <f t="shared" si="132"/>
        <v>7867.01</v>
      </c>
    </row>
    <row r="397" spans="1:17" ht="12.75" thickBot="1">
      <c r="A397" s="11"/>
      <c r="B397" s="12"/>
      <c r="C397" s="13"/>
      <c r="D397" s="27"/>
      <c r="E397" s="22" t="s">
        <v>37</v>
      </c>
      <c r="F397" s="22">
        <f aca="true" t="shared" si="137" ref="F397:Q397">F384+F388+F392+F396</f>
        <v>20403.49</v>
      </c>
      <c r="G397" s="22">
        <f t="shared" si="137"/>
        <v>0</v>
      </c>
      <c r="H397" s="22">
        <f t="shared" si="137"/>
        <v>0</v>
      </c>
      <c r="I397" s="22">
        <f t="shared" si="137"/>
        <v>0</v>
      </c>
      <c r="J397" s="22">
        <f t="shared" si="137"/>
        <v>0</v>
      </c>
      <c r="K397" s="22">
        <f t="shared" si="137"/>
        <v>3435.41</v>
      </c>
      <c r="L397" s="22">
        <f t="shared" si="137"/>
        <v>0</v>
      </c>
      <c r="M397" s="22">
        <f t="shared" si="137"/>
        <v>0</v>
      </c>
      <c r="N397" s="22">
        <f t="shared" si="137"/>
        <v>0</v>
      </c>
      <c r="O397" s="22">
        <f t="shared" si="137"/>
        <v>11208.41</v>
      </c>
      <c r="P397" s="35">
        <f t="shared" si="137"/>
        <v>0</v>
      </c>
      <c r="Q397" s="23">
        <f t="shared" si="137"/>
        <v>35047.310000000005</v>
      </c>
    </row>
    <row r="398" spans="1:17" ht="12">
      <c r="A398" s="11">
        <v>24</v>
      </c>
      <c r="B398" s="12">
        <v>44</v>
      </c>
      <c r="C398" s="13" t="s">
        <v>82</v>
      </c>
      <c r="D398" s="27" t="s">
        <v>83</v>
      </c>
      <c r="E398" s="10" t="s">
        <v>21</v>
      </c>
      <c r="F398" s="10">
        <v>2450.15</v>
      </c>
      <c r="G398" s="10"/>
      <c r="H398" s="10">
        <v>120</v>
      </c>
      <c r="I398" s="10"/>
      <c r="J398" s="10"/>
      <c r="K398" s="10">
        <v>154.91</v>
      </c>
      <c r="L398" s="10"/>
      <c r="M398" s="10"/>
      <c r="N398" s="10"/>
      <c r="O398" s="10"/>
      <c r="P398" s="10"/>
      <c r="Q398" s="29">
        <f aca="true" t="shared" si="138" ref="Q398:Q413">SUM(F398:P398)</f>
        <v>2725.06</v>
      </c>
    </row>
    <row r="399" spans="1:17" ht="12">
      <c r="A399" s="11"/>
      <c r="B399" s="12"/>
      <c r="C399" s="13"/>
      <c r="D399" s="27"/>
      <c r="E399" s="10" t="s">
        <v>22</v>
      </c>
      <c r="F399" s="10">
        <v>1474.56</v>
      </c>
      <c r="G399" s="10"/>
      <c r="H399" s="10">
        <v>120</v>
      </c>
      <c r="I399" s="10"/>
      <c r="J399" s="10"/>
      <c r="K399" s="10"/>
      <c r="L399" s="10"/>
      <c r="M399" s="10"/>
      <c r="N399" s="10"/>
      <c r="O399" s="10"/>
      <c r="P399" s="10"/>
      <c r="Q399" s="29">
        <f t="shared" si="138"/>
        <v>1594.56</v>
      </c>
    </row>
    <row r="400" spans="1:17" ht="12">
      <c r="A400" s="11"/>
      <c r="B400" s="12"/>
      <c r="C400" s="13"/>
      <c r="D400" s="27"/>
      <c r="E400" s="10" t="s">
        <v>23</v>
      </c>
      <c r="F400" s="10">
        <v>905.48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29">
        <f t="shared" si="138"/>
        <v>905.48</v>
      </c>
    </row>
    <row r="401" spans="1:17" ht="12">
      <c r="A401" s="11"/>
      <c r="B401" s="12"/>
      <c r="C401" s="13"/>
      <c r="D401" s="27"/>
      <c r="E401" s="14" t="s">
        <v>24</v>
      </c>
      <c r="F401" s="14">
        <f aca="true" t="shared" si="139" ref="F401:P401">SUM(F398:F400)</f>
        <v>4830.1900000000005</v>
      </c>
      <c r="G401" s="14">
        <f t="shared" si="139"/>
        <v>0</v>
      </c>
      <c r="H401" s="14">
        <f t="shared" si="139"/>
        <v>240</v>
      </c>
      <c r="I401" s="14">
        <f t="shared" si="139"/>
        <v>0</v>
      </c>
      <c r="J401" s="14">
        <f t="shared" si="139"/>
        <v>0</v>
      </c>
      <c r="K401" s="14">
        <f t="shared" si="139"/>
        <v>154.91</v>
      </c>
      <c r="L401" s="14">
        <f t="shared" si="139"/>
        <v>0</v>
      </c>
      <c r="M401" s="14">
        <f t="shared" si="139"/>
        <v>0</v>
      </c>
      <c r="N401" s="14">
        <f t="shared" si="139"/>
        <v>0</v>
      </c>
      <c r="O401" s="14">
        <f t="shared" si="139"/>
        <v>0</v>
      </c>
      <c r="P401" s="14">
        <f t="shared" si="139"/>
        <v>0</v>
      </c>
      <c r="Q401" s="55">
        <f t="shared" si="138"/>
        <v>5225.1</v>
      </c>
    </row>
    <row r="402" spans="1:17" ht="12">
      <c r="A402" s="11"/>
      <c r="B402" s="12"/>
      <c r="C402" s="13"/>
      <c r="D402" s="27"/>
      <c r="E402" s="10" t="s">
        <v>25</v>
      </c>
      <c r="F402" s="10">
        <v>1588.86</v>
      </c>
      <c r="G402" s="10"/>
      <c r="H402" s="10">
        <v>120</v>
      </c>
      <c r="I402" s="10"/>
      <c r="J402" s="10"/>
      <c r="K402" s="10">
        <v>154.91</v>
      </c>
      <c r="L402" s="10"/>
      <c r="M402" s="10"/>
      <c r="N402" s="10"/>
      <c r="O402" s="10"/>
      <c r="P402" s="10"/>
      <c r="Q402" s="29">
        <f t="shared" si="138"/>
        <v>1863.77</v>
      </c>
    </row>
    <row r="403" spans="1:17" ht="12">
      <c r="A403" s="11"/>
      <c r="B403" s="12"/>
      <c r="C403" s="13"/>
      <c r="D403" s="27"/>
      <c r="E403" s="10" t="s">
        <v>26</v>
      </c>
      <c r="F403" s="10">
        <v>1332.06</v>
      </c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29">
        <f t="shared" si="138"/>
        <v>1332.06</v>
      </c>
    </row>
    <row r="404" spans="1:17" ht="12">
      <c r="A404" s="11"/>
      <c r="B404" s="12"/>
      <c r="C404" s="13"/>
      <c r="D404" s="27"/>
      <c r="E404" s="10" t="s">
        <v>27</v>
      </c>
      <c r="F404" s="10">
        <v>2262.55</v>
      </c>
      <c r="G404" s="10"/>
      <c r="H404" s="10">
        <v>120</v>
      </c>
      <c r="I404" s="10"/>
      <c r="J404" s="10"/>
      <c r="K404" s="10"/>
      <c r="L404" s="10"/>
      <c r="M404" s="10"/>
      <c r="N404" s="10"/>
      <c r="O404" s="10"/>
      <c r="P404" s="10"/>
      <c r="Q404" s="29">
        <f t="shared" si="138"/>
        <v>2382.55</v>
      </c>
    </row>
    <row r="405" spans="1:17" ht="12">
      <c r="A405" s="11"/>
      <c r="B405" s="12"/>
      <c r="C405" s="13"/>
      <c r="D405" s="27"/>
      <c r="E405" s="14" t="s">
        <v>28</v>
      </c>
      <c r="F405" s="14">
        <f aca="true" t="shared" si="140" ref="F405:P405">SUM(F402:F404)</f>
        <v>5183.47</v>
      </c>
      <c r="G405" s="14">
        <f t="shared" si="140"/>
        <v>0</v>
      </c>
      <c r="H405" s="14">
        <f t="shared" si="140"/>
        <v>240</v>
      </c>
      <c r="I405" s="14">
        <f t="shared" si="140"/>
        <v>0</v>
      </c>
      <c r="J405" s="14">
        <f t="shared" si="140"/>
        <v>0</v>
      </c>
      <c r="K405" s="14">
        <f t="shared" si="140"/>
        <v>154.91</v>
      </c>
      <c r="L405" s="14">
        <f t="shared" si="140"/>
        <v>0</v>
      </c>
      <c r="M405" s="14">
        <f t="shared" si="140"/>
        <v>0</v>
      </c>
      <c r="N405" s="14">
        <f t="shared" si="140"/>
        <v>0</v>
      </c>
      <c r="O405" s="14">
        <f t="shared" si="140"/>
        <v>0</v>
      </c>
      <c r="P405" s="14">
        <f t="shared" si="140"/>
        <v>0</v>
      </c>
      <c r="Q405" s="55">
        <f t="shared" si="138"/>
        <v>5578.38</v>
      </c>
    </row>
    <row r="406" spans="1:17" ht="12">
      <c r="A406" s="11"/>
      <c r="B406" s="12"/>
      <c r="C406" s="13"/>
      <c r="D406" s="27"/>
      <c r="E406" s="10" t="s">
        <v>29</v>
      </c>
      <c r="F406" s="10">
        <v>1282.57</v>
      </c>
      <c r="G406" s="10"/>
      <c r="H406" s="16">
        <v>120</v>
      </c>
      <c r="I406" s="10"/>
      <c r="J406" s="10"/>
      <c r="K406" s="16">
        <v>154.91</v>
      </c>
      <c r="L406" s="10"/>
      <c r="M406" s="10"/>
      <c r="N406" s="10"/>
      <c r="O406" s="10"/>
      <c r="P406" s="10"/>
      <c r="Q406" s="29">
        <f t="shared" si="138"/>
        <v>1557.48</v>
      </c>
    </row>
    <row r="407" spans="1:17" ht="12.75">
      <c r="A407" s="11"/>
      <c r="B407" s="12"/>
      <c r="C407" s="13"/>
      <c r="D407" s="27"/>
      <c r="E407" s="10" t="s">
        <v>30</v>
      </c>
      <c r="F407" s="10">
        <v>1286.62</v>
      </c>
      <c r="G407" s="10"/>
      <c r="H407" s="17">
        <v>120</v>
      </c>
      <c r="I407" s="10"/>
      <c r="J407" s="10"/>
      <c r="K407" s="17">
        <v>19.9</v>
      </c>
      <c r="L407" s="10"/>
      <c r="M407" s="10"/>
      <c r="N407" s="10"/>
      <c r="O407" s="10"/>
      <c r="P407" s="10"/>
      <c r="Q407" s="29">
        <f t="shared" si="138"/>
        <v>1426.52</v>
      </c>
    </row>
    <row r="408" spans="1:17" ht="12.75">
      <c r="A408" s="11"/>
      <c r="B408" s="12"/>
      <c r="C408" s="13"/>
      <c r="D408" s="27"/>
      <c r="E408" s="10" t="s">
        <v>31</v>
      </c>
      <c r="F408" s="17">
        <v>1068.05</v>
      </c>
      <c r="G408" s="10"/>
      <c r="H408" s="10"/>
      <c r="I408" s="10"/>
      <c r="J408" s="10"/>
      <c r="K408" s="17">
        <v>19.9</v>
      </c>
      <c r="L408" s="10"/>
      <c r="M408" s="10"/>
      <c r="N408" s="10"/>
      <c r="O408" s="10"/>
      <c r="P408" s="10"/>
      <c r="Q408" s="29">
        <f t="shared" si="138"/>
        <v>1087.95</v>
      </c>
    </row>
    <row r="409" spans="1:17" ht="12">
      <c r="A409" s="11"/>
      <c r="B409" s="12"/>
      <c r="C409" s="13"/>
      <c r="D409" s="27"/>
      <c r="E409" s="14" t="s">
        <v>32</v>
      </c>
      <c r="F409" s="14">
        <f aca="true" t="shared" si="141" ref="F409:P409">SUM(F406:F408)</f>
        <v>3637.24</v>
      </c>
      <c r="G409" s="14">
        <f t="shared" si="141"/>
        <v>0</v>
      </c>
      <c r="H409" s="14">
        <f t="shared" si="141"/>
        <v>240</v>
      </c>
      <c r="I409" s="14">
        <f t="shared" si="141"/>
        <v>0</v>
      </c>
      <c r="J409" s="14">
        <f t="shared" si="141"/>
        <v>0</v>
      </c>
      <c r="K409" s="14">
        <f t="shared" si="141"/>
        <v>194.71</v>
      </c>
      <c r="L409" s="14">
        <f t="shared" si="141"/>
        <v>0</v>
      </c>
      <c r="M409" s="14">
        <f t="shared" si="141"/>
        <v>0</v>
      </c>
      <c r="N409" s="14">
        <f t="shared" si="141"/>
        <v>0</v>
      </c>
      <c r="O409" s="14">
        <f t="shared" si="141"/>
        <v>0</v>
      </c>
      <c r="P409" s="14">
        <f t="shared" si="141"/>
        <v>0</v>
      </c>
      <c r="Q409" s="55">
        <f t="shared" si="138"/>
        <v>4071.95</v>
      </c>
    </row>
    <row r="410" spans="1:17" ht="12.75">
      <c r="A410" s="11"/>
      <c r="B410" s="12"/>
      <c r="C410" s="13"/>
      <c r="D410" s="27"/>
      <c r="E410" s="10" t="s">
        <v>33</v>
      </c>
      <c r="F410" s="10">
        <v>2967.5</v>
      </c>
      <c r="G410" s="10"/>
      <c r="H410" s="17">
        <v>360</v>
      </c>
      <c r="I410" s="10"/>
      <c r="J410" s="10"/>
      <c r="K410" s="17">
        <v>154.91</v>
      </c>
      <c r="L410" s="10"/>
      <c r="M410" s="10"/>
      <c r="N410" s="10"/>
      <c r="O410" s="10"/>
      <c r="P410" s="10"/>
      <c r="Q410" s="29">
        <f t="shared" si="138"/>
        <v>3482.41</v>
      </c>
    </row>
    <row r="411" spans="1:17" ht="12.75">
      <c r="A411" s="11"/>
      <c r="B411" s="12"/>
      <c r="C411" s="13"/>
      <c r="D411" s="27"/>
      <c r="E411" s="10" t="s">
        <v>34</v>
      </c>
      <c r="F411" s="17">
        <v>960.48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29">
        <f t="shared" si="138"/>
        <v>960.48</v>
      </c>
    </row>
    <row r="412" spans="1:17" ht="12.75">
      <c r="A412" s="11"/>
      <c r="B412" s="12"/>
      <c r="C412" s="13"/>
      <c r="D412" s="27"/>
      <c r="E412" s="10" t="s">
        <v>35</v>
      </c>
      <c r="F412" s="10">
        <v>2526.45</v>
      </c>
      <c r="G412" s="10"/>
      <c r="H412" s="18">
        <v>240</v>
      </c>
      <c r="I412" s="10"/>
      <c r="J412" s="10"/>
      <c r="K412" s="10"/>
      <c r="L412" s="10"/>
      <c r="M412" s="10"/>
      <c r="N412" s="10"/>
      <c r="O412" s="10"/>
      <c r="P412" s="10"/>
      <c r="Q412" s="29">
        <f t="shared" si="138"/>
        <v>2766.45</v>
      </c>
    </row>
    <row r="413" spans="1:17" ht="12">
      <c r="A413" s="11"/>
      <c r="B413" s="12"/>
      <c r="C413" s="13"/>
      <c r="D413" s="27"/>
      <c r="E413" s="14" t="s">
        <v>36</v>
      </c>
      <c r="F413" s="14">
        <f aca="true" t="shared" si="142" ref="F413:P413">SUM(F410:F412)</f>
        <v>6454.43</v>
      </c>
      <c r="G413" s="14">
        <f t="shared" si="142"/>
        <v>0</v>
      </c>
      <c r="H413" s="14">
        <f t="shared" si="142"/>
        <v>600</v>
      </c>
      <c r="I413" s="14">
        <f t="shared" si="142"/>
        <v>0</v>
      </c>
      <c r="J413" s="14">
        <f t="shared" si="142"/>
        <v>0</v>
      </c>
      <c r="K413" s="14">
        <f t="shared" si="142"/>
        <v>154.91</v>
      </c>
      <c r="L413" s="14">
        <f t="shared" si="142"/>
        <v>0</v>
      </c>
      <c r="M413" s="14">
        <f t="shared" si="142"/>
        <v>0</v>
      </c>
      <c r="N413" s="14">
        <f t="shared" si="142"/>
        <v>0</v>
      </c>
      <c r="O413" s="14">
        <f t="shared" si="142"/>
        <v>0</v>
      </c>
      <c r="P413" s="14">
        <f t="shared" si="142"/>
        <v>0</v>
      </c>
      <c r="Q413" s="55">
        <f t="shared" si="138"/>
        <v>7209.34</v>
      </c>
    </row>
    <row r="414" spans="1:17" ht="12.75" thickBot="1">
      <c r="A414" s="11"/>
      <c r="B414" s="12"/>
      <c r="C414" s="13"/>
      <c r="D414" s="27"/>
      <c r="E414" s="22" t="s">
        <v>37</v>
      </c>
      <c r="F414" s="22">
        <f aca="true" t="shared" si="143" ref="F414:Q414">F401+F405+F409+F413</f>
        <v>20105.33</v>
      </c>
      <c r="G414" s="22">
        <f t="shared" si="143"/>
        <v>0</v>
      </c>
      <c r="H414" s="22">
        <f t="shared" si="143"/>
        <v>1320</v>
      </c>
      <c r="I414" s="22">
        <f t="shared" si="143"/>
        <v>0</v>
      </c>
      <c r="J414" s="22">
        <f t="shared" si="143"/>
        <v>0</v>
      </c>
      <c r="K414" s="22">
        <f t="shared" si="143"/>
        <v>659.4399999999999</v>
      </c>
      <c r="L414" s="22">
        <f t="shared" si="143"/>
        <v>0</v>
      </c>
      <c r="M414" s="22">
        <f t="shared" si="143"/>
        <v>0</v>
      </c>
      <c r="N414" s="22">
        <f t="shared" si="143"/>
        <v>0</v>
      </c>
      <c r="O414" s="22">
        <f t="shared" si="143"/>
        <v>0</v>
      </c>
      <c r="P414" s="35">
        <f t="shared" si="143"/>
        <v>0</v>
      </c>
      <c r="Q414" s="23">
        <f t="shared" si="143"/>
        <v>22084.77</v>
      </c>
    </row>
    <row r="415" spans="1:17" ht="12">
      <c r="A415" s="11">
        <v>25</v>
      </c>
      <c r="B415" s="12">
        <v>71</v>
      </c>
      <c r="C415" s="13" t="s">
        <v>84</v>
      </c>
      <c r="D415" s="27" t="s">
        <v>85</v>
      </c>
      <c r="E415" s="10" t="s">
        <v>21</v>
      </c>
      <c r="F415" s="10">
        <v>515.6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29">
        <f aca="true" t="shared" si="144" ref="Q415:Q430">SUM(F415:P415)</f>
        <v>515.6</v>
      </c>
    </row>
    <row r="416" spans="1:17" ht="12">
      <c r="A416" s="11"/>
      <c r="B416" s="12"/>
      <c r="C416" s="13"/>
      <c r="D416" s="27"/>
      <c r="E416" s="10" t="s">
        <v>22</v>
      </c>
      <c r="F416" s="10">
        <v>1272.53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29">
        <f t="shared" si="144"/>
        <v>1272.53</v>
      </c>
    </row>
    <row r="417" spans="1:17" ht="12">
      <c r="A417" s="11"/>
      <c r="B417" s="12"/>
      <c r="C417" s="13"/>
      <c r="D417" s="27"/>
      <c r="E417" s="10" t="s">
        <v>23</v>
      </c>
      <c r="F417" s="10">
        <v>524.71</v>
      </c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29">
        <f t="shared" si="144"/>
        <v>524.71</v>
      </c>
    </row>
    <row r="418" spans="1:17" ht="12">
      <c r="A418" s="11"/>
      <c r="B418" s="12"/>
      <c r="C418" s="13"/>
      <c r="D418" s="27"/>
      <c r="E418" s="14" t="s">
        <v>24</v>
      </c>
      <c r="F418" s="14">
        <f aca="true" t="shared" si="145" ref="F418:P418">SUM(F415:F417)</f>
        <v>2312.84</v>
      </c>
      <c r="G418" s="14">
        <f t="shared" si="145"/>
        <v>0</v>
      </c>
      <c r="H418" s="14">
        <f t="shared" si="145"/>
        <v>0</v>
      </c>
      <c r="I418" s="14">
        <f t="shared" si="145"/>
        <v>0</v>
      </c>
      <c r="J418" s="14">
        <f t="shared" si="145"/>
        <v>0</v>
      </c>
      <c r="K418" s="14">
        <f t="shared" si="145"/>
        <v>0</v>
      </c>
      <c r="L418" s="14">
        <f t="shared" si="145"/>
        <v>0</v>
      </c>
      <c r="M418" s="14">
        <f t="shared" si="145"/>
        <v>0</v>
      </c>
      <c r="N418" s="14">
        <f t="shared" si="145"/>
        <v>0</v>
      </c>
      <c r="O418" s="14">
        <f t="shared" si="145"/>
        <v>0</v>
      </c>
      <c r="P418" s="14">
        <f t="shared" si="145"/>
        <v>0</v>
      </c>
      <c r="Q418" s="55">
        <f t="shared" si="144"/>
        <v>2312.84</v>
      </c>
    </row>
    <row r="419" spans="1:17" ht="12">
      <c r="A419" s="11"/>
      <c r="B419" s="12"/>
      <c r="C419" s="13"/>
      <c r="D419" s="27"/>
      <c r="E419" s="10" t="s">
        <v>25</v>
      </c>
      <c r="F419" s="10">
        <v>200.31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29">
        <f t="shared" si="144"/>
        <v>200.31</v>
      </c>
    </row>
    <row r="420" spans="1:17" ht="12">
      <c r="A420" s="11"/>
      <c r="B420" s="12"/>
      <c r="C420" s="13"/>
      <c r="D420" s="27"/>
      <c r="E420" s="10" t="s">
        <v>26</v>
      </c>
      <c r="F420" s="10">
        <v>352.54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29">
        <f t="shared" si="144"/>
        <v>352.54</v>
      </c>
    </row>
    <row r="421" spans="1:17" ht="12">
      <c r="A421" s="11"/>
      <c r="B421" s="12"/>
      <c r="C421" s="13"/>
      <c r="D421" s="27"/>
      <c r="E421" s="10" t="s">
        <v>27</v>
      </c>
      <c r="F421" s="10">
        <v>877.86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29">
        <f t="shared" si="144"/>
        <v>877.86</v>
      </c>
    </row>
    <row r="422" spans="1:17" ht="12">
      <c r="A422" s="11"/>
      <c r="B422" s="12"/>
      <c r="C422" s="13"/>
      <c r="D422" s="27"/>
      <c r="E422" s="14" t="s">
        <v>28</v>
      </c>
      <c r="F422" s="14">
        <f aca="true" t="shared" si="146" ref="F422:P422">SUM(F419:F421)</f>
        <v>1430.71</v>
      </c>
      <c r="G422" s="14">
        <f t="shared" si="146"/>
        <v>0</v>
      </c>
      <c r="H422" s="14">
        <f t="shared" si="146"/>
        <v>0</v>
      </c>
      <c r="I422" s="14">
        <f t="shared" si="146"/>
        <v>0</v>
      </c>
      <c r="J422" s="14">
        <f t="shared" si="146"/>
        <v>0</v>
      </c>
      <c r="K422" s="14">
        <f t="shared" si="146"/>
        <v>0</v>
      </c>
      <c r="L422" s="14">
        <f t="shared" si="146"/>
        <v>0</v>
      </c>
      <c r="M422" s="14">
        <f t="shared" si="146"/>
        <v>0</v>
      </c>
      <c r="N422" s="14">
        <f t="shared" si="146"/>
        <v>0</v>
      </c>
      <c r="O422" s="14">
        <f t="shared" si="146"/>
        <v>0</v>
      </c>
      <c r="P422" s="14">
        <f t="shared" si="146"/>
        <v>0</v>
      </c>
      <c r="Q422" s="55">
        <f t="shared" si="144"/>
        <v>1430.71</v>
      </c>
    </row>
    <row r="423" spans="1:17" ht="12">
      <c r="A423" s="11"/>
      <c r="B423" s="12"/>
      <c r="C423" s="13"/>
      <c r="D423" s="27"/>
      <c r="E423" s="10" t="s">
        <v>29</v>
      </c>
      <c r="F423" s="16">
        <v>184.59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29">
        <f t="shared" si="144"/>
        <v>184.59</v>
      </c>
    </row>
    <row r="424" spans="1:17" ht="12.75">
      <c r="A424" s="11"/>
      <c r="B424" s="12"/>
      <c r="C424" s="13"/>
      <c r="D424" s="27"/>
      <c r="E424" s="10" t="s">
        <v>30</v>
      </c>
      <c r="F424" s="17">
        <v>759.68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29">
        <f t="shared" si="144"/>
        <v>759.68</v>
      </c>
    </row>
    <row r="425" spans="1:17" ht="12.75">
      <c r="A425" s="11"/>
      <c r="B425" s="12"/>
      <c r="C425" s="13"/>
      <c r="D425" s="27"/>
      <c r="E425" s="10" t="s">
        <v>31</v>
      </c>
      <c r="F425" s="17">
        <v>374.89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29">
        <f t="shared" si="144"/>
        <v>374.89</v>
      </c>
    </row>
    <row r="426" spans="1:17" ht="12">
      <c r="A426" s="11"/>
      <c r="B426" s="12"/>
      <c r="C426" s="13"/>
      <c r="D426" s="27"/>
      <c r="E426" s="14" t="s">
        <v>32</v>
      </c>
      <c r="F426" s="14">
        <f aca="true" t="shared" si="147" ref="F426:P426">SUM(F423:F425)</f>
        <v>1319.1599999999999</v>
      </c>
      <c r="G426" s="14">
        <f t="shared" si="147"/>
        <v>0</v>
      </c>
      <c r="H426" s="14">
        <f t="shared" si="147"/>
        <v>0</v>
      </c>
      <c r="I426" s="14">
        <f t="shared" si="147"/>
        <v>0</v>
      </c>
      <c r="J426" s="14">
        <f t="shared" si="147"/>
        <v>0</v>
      </c>
      <c r="K426" s="14">
        <f t="shared" si="147"/>
        <v>0</v>
      </c>
      <c r="L426" s="14">
        <f t="shared" si="147"/>
        <v>0</v>
      </c>
      <c r="M426" s="14">
        <f t="shared" si="147"/>
        <v>0</v>
      </c>
      <c r="N426" s="14">
        <f t="shared" si="147"/>
        <v>0</v>
      </c>
      <c r="O426" s="14">
        <f t="shared" si="147"/>
        <v>0</v>
      </c>
      <c r="P426" s="14">
        <f t="shared" si="147"/>
        <v>0</v>
      </c>
      <c r="Q426" s="55">
        <f t="shared" si="144"/>
        <v>1319.1599999999999</v>
      </c>
    </row>
    <row r="427" spans="1:17" ht="12">
      <c r="A427" s="11"/>
      <c r="B427" s="12"/>
      <c r="C427" s="13"/>
      <c r="D427" s="27"/>
      <c r="E427" s="10" t="s">
        <v>33</v>
      </c>
      <c r="F427" s="10">
        <v>66.54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29">
        <f t="shared" si="144"/>
        <v>66.54</v>
      </c>
    </row>
    <row r="428" spans="1:17" ht="12.75">
      <c r="A428" s="11"/>
      <c r="B428" s="12"/>
      <c r="C428" s="13"/>
      <c r="D428" s="27"/>
      <c r="E428" s="10" t="s">
        <v>34</v>
      </c>
      <c r="F428" s="17">
        <v>306.03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29">
        <f t="shared" si="144"/>
        <v>306.03</v>
      </c>
    </row>
    <row r="429" spans="1:17" ht="12.75">
      <c r="A429" s="11"/>
      <c r="B429" s="12"/>
      <c r="C429" s="13"/>
      <c r="D429" s="27"/>
      <c r="E429" s="10" t="s">
        <v>35</v>
      </c>
      <c r="F429" s="18">
        <v>120.73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29">
        <f t="shared" si="144"/>
        <v>120.73</v>
      </c>
    </row>
    <row r="430" spans="1:17" ht="12">
      <c r="A430" s="11"/>
      <c r="B430" s="12"/>
      <c r="C430" s="13"/>
      <c r="D430" s="27"/>
      <c r="E430" s="14" t="s">
        <v>36</v>
      </c>
      <c r="F430" s="14">
        <f aca="true" t="shared" si="148" ref="F430:P430">SUM(F427:F429)</f>
        <v>493.3</v>
      </c>
      <c r="G430" s="14">
        <f t="shared" si="148"/>
        <v>0</v>
      </c>
      <c r="H430" s="14">
        <f t="shared" si="148"/>
        <v>0</v>
      </c>
      <c r="I430" s="14">
        <f t="shared" si="148"/>
        <v>0</v>
      </c>
      <c r="J430" s="14">
        <f t="shared" si="148"/>
        <v>0</v>
      </c>
      <c r="K430" s="14">
        <f t="shared" si="148"/>
        <v>0</v>
      </c>
      <c r="L430" s="14">
        <f t="shared" si="148"/>
        <v>0</v>
      </c>
      <c r="M430" s="14">
        <f t="shared" si="148"/>
        <v>0</v>
      </c>
      <c r="N430" s="14">
        <f t="shared" si="148"/>
        <v>0</v>
      </c>
      <c r="O430" s="14">
        <f t="shared" si="148"/>
        <v>0</v>
      </c>
      <c r="P430" s="14">
        <f t="shared" si="148"/>
        <v>0</v>
      </c>
      <c r="Q430" s="55">
        <f t="shared" si="144"/>
        <v>493.3</v>
      </c>
    </row>
    <row r="431" spans="1:17" ht="12.75" thickBot="1">
      <c r="A431" s="11"/>
      <c r="B431" s="12"/>
      <c r="C431" s="13"/>
      <c r="D431" s="27"/>
      <c r="E431" s="22" t="s">
        <v>37</v>
      </c>
      <c r="F431" s="22">
        <f aca="true" t="shared" si="149" ref="F431:Q431">F418+F422+F426+F430</f>
        <v>5556.01</v>
      </c>
      <c r="G431" s="22">
        <f t="shared" si="149"/>
        <v>0</v>
      </c>
      <c r="H431" s="22">
        <f t="shared" si="149"/>
        <v>0</v>
      </c>
      <c r="I431" s="22">
        <f t="shared" si="149"/>
        <v>0</v>
      </c>
      <c r="J431" s="22">
        <f t="shared" si="149"/>
        <v>0</v>
      </c>
      <c r="K431" s="22">
        <f t="shared" si="149"/>
        <v>0</v>
      </c>
      <c r="L431" s="22">
        <f t="shared" si="149"/>
        <v>0</v>
      </c>
      <c r="M431" s="22">
        <f t="shared" si="149"/>
        <v>0</v>
      </c>
      <c r="N431" s="22">
        <f t="shared" si="149"/>
        <v>0</v>
      </c>
      <c r="O431" s="22">
        <f t="shared" si="149"/>
        <v>0</v>
      </c>
      <c r="P431" s="35">
        <f t="shared" si="149"/>
        <v>0</v>
      </c>
      <c r="Q431" s="23">
        <f t="shared" si="149"/>
        <v>5556.01</v>
      </c>
    </row>
    <row r="432" spans="1:17" ht="12">
      <c r="A432" s="11">
        <v>26</v>
      </c>
      <c r="B432" s="12">
        <v>32</v>
      </c>
      <c r="C432" s="13" t="s">
        <v>86</v>
      </c>
      <c r="D432" s="36" t="s">
        <v>87</v>
      </c>
      <c r="E432" s="10" t="s">
        <v>21</v>
      </c>
      <c r="F432" s="10">
        <v>2378.91</v>
      </c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29">
        <f aca="true" t="shared" si="150" ref="Q432:Q447">SUM(F432:P432)</f>
        <v>2378.91</v>
      </c>
    </row>
    <row r="433" spans="1:17" ht="12">
      <c r="A433" s="11"/>
      <c r="B433" s="12"/>
      <c r="C433" s="13"/>
      <c r="D433" s="27"/>
      <c r="E433" s="10" t="s">
        <v>22</v>
      </c>
      <c r="F433" s="10">
        <v>1610.49</v>
      </c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29">
        <f t="shared" si="150"/>
        <v>1610.49</v>
      </c>
    </row>
    <row r="434" spans="1:17" ht="12">
      <c r="A434" s="11"/>
      <c r="B434" s="12"/>
      <c r="C434" s="13"/>
      <c r="D434" s="27"/>
      <c r="E434" s="10" t="s">
        <v>23</v>
      </c>
      <c r="F434" s="10">
        <v>3150.42</v>
      </c>
      <c r="G434" s="10"/>
      <c r="H434" s="10"/>
      <c r="I434" s="10"/>
      <c r="J434" s="10"/>
      <c r="K434" s="10"/>
      <c r="L434" s="10"/>
      <c r="M434" s="10"/>
      <c r="N434" s="10"/>
      <c r="O434" s="10">
        <v>2047.51</v>
      </c>
      <c r="P434" s="10"/>
      <c r="Q434" s="29">
        <f t="shared" si="150"/>
        <v>5197.93</v>
      </c>
    </row>
    <row r="435" spans="1:17" ht="12">
      <c r="A435" s="11"/>
      <c r="B435" s="12"/>
      <c r="C435" s="13"/>
      <c r="D435" s="27"/>
      <c r="E435" s="14" t="s">
        <v>24</v>
      </c>
      <c r="F435" s="14">
        <f aca="true" t="shared" si="151" ref="F435:P435">SUM(F432:F434)</f>
        <v>7139.82</v>
      </c>
      <c r="G435" s="14">
        <f t="shared" si="151"/>
        <v>0</v>
      </c>
      <c r="H435" s="14">
        <f t="shared" si="151"/>
        <v>0</v>
      </c>
      <c r="I435" s="14">
        <f t="shared" si="151"/>
        <v>0</v>
      </c>
      <c r="J435" s="14">
        <f t="shared" si="151"/>
        <v>0</v>
      </c>
      <c r="K435" s="14">
        <f t="shared" si="151"/>
        <v>0</v>
      </c>
      <c r="L435" s="14">
        <f t="shared" si="151"/>
        <v>0</v>
      </c>
      <c r="M435" s="14">
        <f t="shared" si="151"/>
        <v>0</v>
      </c>
      <c r="N435" s="14">
        <f t="shared" si="151"/>
        <v>0</v>
      </c>
      <c r="O435" s="14">
        <f t="shared" si="151"/>
        <v>2047.51</v>
      </c>
      <c r="P435" s="14">
        <f t="shared" si="151"/>
        <v>0</v>
      </c>
      <c r="Q435" s="55">
        <f t="shared" si="150"/>
        <v>9187.33</v>
      </c>
    </row>
    <row r="436" spans="1:17" ht="12">
      <c r="A436" s="11"/>
      <c r="B436" s="12"/>
      <c r="C436" s="13"/>
      <c r="D436" s="27"/>
      <c r="E436" s="10" t="s">
        <v>25</v>
      </c>
      <c r="F436" s="10">
        <v>3792.57</v>
      </c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29">
        <f t="shared" si="150"/>
        <v>3792.57</v>
      </c>
    </row>
    <row r="437" spans="1:17" ht="12">
      <c r="A437" s="11"/>
      <c r="B437" s="12"/>
      <c r="C437" s="13"/>
      <c r="D437" s="27"/>
      <c r="E437" s="10" t="s">
        <v>26</v>
      </c>
      <c r="F437" s="10">
        <v>1773.62</v>
      </c>
      <c r="G437" s="10"/>
      <c r="H437" s="10"/>
      <c r="I437" s="10"/>
      <c r="J437" s="10"/>
      <c r="K437" s="10"/>
      <c r="L437" s="10"/>
      <c r="M437" s="10"/>
      <c r="N437" s="10"/>
      <c r="O437" s="10">
        <v>1721.6</v>
      </c>
      <c r="P437" s="10"/>
      <c r="Q437" s="29">
        <f t="shared" si="150"/>
        <v>3495.22</v>
      </c>
    </row>
    <row r="438" spans="1:17" ht="12">
      <c r="A438" s="11"/>
      <c r="B438" s="12"/>
      <c r="C438" s="13"/>
      <c r="D438" s="27"/>
      <c r="E438" s="10" t="s">
        <v>27</v>
      </c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29">
        <f t="shared" si="150"/>
        <v>0</v>
      </c>
    </row>
    <row r="439" spans="1:17" ht="12">
      <c r="A439" s="11"/>
      <c r="B439" s="12"/>
      <c r="C439" s="13"/>
      <c r="D439" s="27"/>
      <c r="E439" s="14" t="s">
        <v>28</v>
      </c>
      <c r="F439" s="14">
        <f aca="true" t="shared" si="152" ref="F439:P439">SUM(F436:F438)</f>
        <v>5566.1900000000005</v>
      </c>
      <c r="G439" s="14">
        <f t="shared" si="152"/>
        <v>0</v>
      </c>
      <c r="H439" s="14">
        <f t="shared" si="152"/>
        <v>0</v>
      </c>
      <c r="I439" s="14">
        <f t="shared" si="152"/>
        <v>0</v>
      </c>
      <c r="J439" s="14">
        <f t="shared" si="152"/>
        <v>0</v>
      </c>
      <c r="K439" s="14">
        <f t="shared" si="152"/>
        <v>0</v>
      </c>
      <c r="L439" s="14">
        <f t="shared" si="152"/>
        <v>0</v>
      </c>
      <c r="M439" s="14">
        <f t="shared" si="152"/>
        <v>0</v>
      </c>
      <c r="N439" s="14">
        <f t="shared" si="152"/>
        <v>0</v>
      </c>
      <c r="O439" s="14">
        <f t="shared" si="152"/>
        <v>1721.6</v>
      </c>
      <c r="P439" s="14">
        <f t="shared" si="152"/>
        <v>0</v>
      </c>
      <c r="Q439" s="55">
        <f t="shared" si="150"/>
        <v>7287.790000000001</v>
      </c>
    </row>
    <row r="440" spans="1:17" ht="12">
      <c r="A440" s="11"/>
      <c r="B440" s="12"/>
      <c r="C440" s="13"/>
      <c r="D440" s="27"/>
      <c r="E440" s="10" t="s">
        <v>29</v>
      </c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29">
        <f t="shared" si="150"/>
        <v>0</v>
      </c>
    </row>
    <row r="441" spans="1:17" ht="12">
      <c r="A441" s="11"/>
      <c r="B441" s="12"/>
      <c r="C441" s="13"/>
      <c r="D441" s="27"/>
      <c r="E441" s="10" t="s">
        <v>30</v>
      </c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29">
        <f t="shared" si="150"/>
        <v>0</v>
      </c>
    </row>
    <row r="442" spans="1:17" ht="12">
      <c r="A442" s="11"/>
      <c r="B442" s="12"/>
      <c r="C442" s="13"/>
      <c r="D442" s="27"/>
      <c r="E442" s="10" t="s">
        <v>31</v>
      </c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29">
        <f t="shared" si="150"/>
        <v>0</v>
      </c>
    </row>
    <row r="443" spans="1:17" ht="12">
      <c r="A443" s="11"/>
      <c r="B443" s="12"/>
      <c r="C443" s="13"/>
      <c r="D443" s="27"/>
      <c r="E443" s="14" t="s">
        <v>32</v>
      </c>
      <c r="F443" s="14">
        <f aca="true" t="shared" si="153" ref="F443:P443">SUM(F440:F442)</f>
        <v>0</v>
      </c>
      <c r="G443" s="14">
        <f t="shared" si="153"/>
        <v>0</v>
      </c>
      <c r="H443" s="14">
        <f t="shared" si="153"/>
        <v>0</v>
      </c>
      <c r="I443" s="14">
        <f t="shared" si="153"/>
        <v>0</v>
      </c>
      <c r="J443" s="14">
        <f t="shared" si="153"/>
        <v>0</v>
      </c>
      <c r="K443" s="14">
        <f t="shared" si="153"/>
        <v>0</v>
      </c>
      <c r="L443" s="14">
        <f t="shared" si="153"/>
        <v>0</v>
      </c>
      <c r="M443" s="14">
        <f t="shared" si="153"/>
        <v>0</v>
      </c>
      <c r="N443" s="14">
        <f t="shared" si="153"/>
        <v>0</v>
      </c>
      <c r="O443" s="14">
        <f t="shared" si="153"/>
        <v>0</v>
      </c>
      <c r="P443" s="14">
        <f t="shared" si="153"/>
        <v>0</v>
      </c>
      <c r="Q443" s="55">
        <f t="shared" si="150"/>
        <v>0</v>
      </c>
    </row>
    <row r="444" spans="1:17" ht="12">
      <c r="A444" s="11"/>
      <c r="B444" s="12"/>
      <c r="C444" s="13"/>
      <c r="D444" s="27"/>
      <c r="E444" s="10" t="s">
        <v>33</v>
      </c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29">
        <f t="shared" si="150"/>
        <v>0</v>
      </c>
    </row>
    <row r="445" spans="1:17" ht="12">
      <c r="A445" s="11"/>
      <c r="B445" s="12"/>
      <c r="C445" s="13"/>
      <c r="D445" s="27"/>
      <c r="E445" s="10" t="s">
        <v>34</v>
      </c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29">
        <f t="shared" si="150"/>
        <v>0</v>
      </c>
    </row>
    <row r="446" spans="1:17" ht="12">
      <c r="A446" s="11"/>
      <c r="B446" s="12"/>
      <c r="C446" s="13"/>
      <c r="D446" s="27"/>
      <c r="E446" s="10" t="s">
        <v>35</v>
      </c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29">
        <f t="shared" si="150"/>
        <v>0</v>
      </c>
    </row>
    <row r="447" spans="1:17" ht="12">
      <c r="A447" s="11"/>
      <c r="B447" s="12"/>
      <c r="C447" s="13"/>
      <c r="D447" s="27"/>
      <c r="E447" s="14" t="s">
        <v>36</v>
      </c>
      <c r="F447" s="14">
        <f aca="true" t="shared" si="154" ref="F447:P447">SUM(F444:F446)</f>
        <v>0</v>
      </c>
      <c r="G447" s="14">
        <f t="shared" si="154"/>
        <v>0</v>
      </c>
      <c r="H447" s="14">
        <f t="shared" si="154"/>
        <v>0</v>
      </c>
      <c r="I447" s="14">
        <f t="shared" si="154"/>
        <v>0</v>
      </c>
      <c r="J447" s="14">
        <f t="shared" si="154"/>
        <v>0</v>
      </c>
      <c r="K447" s="14">
        <f t="shared" si="154"/>
        <v>0</v>
      </c>
      <c r="L447" s="14">
        <f t="shared" si="154"/>
        <v>0</v>
      </c>
      <c r="M447" s="14">
        <f t="shared" si="154"/>
        <v>0</v>
      </c>
      <c r="N447" s="14">
        <f t="shared" si="154"/>
        <v>0</v>
      </c>
      <c r="O447" s="14">
        <f t="shared" si="154"/>
        <v>0</v>
      </c>
      <c r="P447" s="14">
        <f t="shared" si="154"/>
        <v>0</v>
      </c>
      <c r="Q447" s="55">
        <f t="shared" si="150"/>
        <v>0</v>
      </c>
    </row>
    <row r="448" spans="1:17" ht="12.75" thickBot="1">
      <c r="A448" s="11"/>
      <c r="B448" s="12"/>
      <c r="C448" s="13"/>
      <c r="D448" s="27"/>
      <c r="E448" s="22" t="s">
        <v>37</v>
      </c>
      <c r="F448" s="22">
        <f aca="true" t="shared" si="155" ref="F448:Q448">F435+F439+F443+F447</f>
        <v>12706.01</v>
      </c>
      <c r="G448" s="22">
        <f t="shared" si="155"/>
        <v>0</v>
      </c>
      <c r="H448" s="22">
        <f t="shared" si="155"/>
        <v>0</v>
      </c>
      <c r="I448" s="22">
        <f t="shared" si="155"/>
        <v>0</v>
      </c>
      <c r="J448" s="22">
        <f t="shared" si="155"/>
        <v>0</v>
      </c>
      <c r="K448" s="22">
        <f t="shared" si="155"/>
        <v>0</v>
      </c>
      <c r="L448" s="22">
        <f t="shared" si="155"/>
        <v>0</v>
      </c>
      <c r="M448" s="22">
        <f t="shared" si="155"/>
        <v>0</v>
      </c>
      <c r="N448" s="22">
        <f t="shared" si="155"/>
        <v>0</v>
      </c>
      <c r="O448" s="22">
        <f t="shared" si="155"/>
        <v>3769.1099999999997</v>
      </c>
      <c r="P448" s="35">
        <f t="shared" si="155"/>
        <v>0</v>
      </c>
      <c r="Q448" s="23">
        <f t="shared" si="155"/>
        <v>16475.120000000003</v>
      </c>
    </row>
    <row r="449" spans="1:17" ht="12">
      <c r="A449" s="11">
        <v>27</v>
      </c>
      <c r="B449" s="12">
        <v>59</v>
      </c>
      <c r="C449" s="13" t="s">
        <v>88</v>
      </c>
      <c r="D449" s="36" t="s">
        <v>89</v>
      </c>
      <c r="E449" s="10" t="s">
        <v>21</v>
      </c>
      <c r="F449" s="10">
        <v>2554.07</v>
      </c>
      <c r="G449" s="10"/>
      <c r="H449" s="10">
        <v>120</v>
      </c>
      <c r="I449" s="10"/>
      <c r="J449" s="10"/>
      <c r="K449" s="10"/>
      <c r="L449" s="10"/>
      <c r="M449" s="10"/>
      <c r="N449" s="10"/>
      <c r="O449" s="10"/>
      <c r="P449" s="10"/>
      <c r="Q449" s="29">
        <f aca="true" t="shared" si="156" ref="Q449:Q464">SUM(F449:P449)</f>
        <v>2674.07</v>
      </c>
    </row>
    <row r="450" spans="1:17" ht="12">
      <c r="A450" s="11"/>
      <c r="B450" s="12"/>
      <c r="C450" s="13"/>
      <c r="D450" s="27"/>
      <c r="E450" s="10" t="s">
        <v>22</v>
      </c>
      <c r="F450" s="10">
        <v>4097.74</v>
      </c>
      <c r="G450" s="10"/>
      <c r="H450" s="10">
        <v>240</v>
      </c>
      <c r="I450" s="10"/>
      <c r="J450" s="10"/>
      <c r="K450" s="10"/>
      <c r="L450" s="10"/>
      <c r="M450" s="10"/>
      <c r="N450" s="10"/>
      <c r="O450" s="10"/>
      <c r="P450" s="10"/>
      <c r="Q450" s="29">
        <f t="shared" si="156"/>
        <v>4337.74</v>
      </c>
    </row>
    <row r="451" spans="1:17" ht="12">
      <c r="A451" s="11"/>
      <c r="B451" s="12"/>
      <c r="C451" s="13"/>
      <c r="D451" s="27"/>
      <c r="E451" s="10" t="s">
        <v>23</v>
      </c>
      <c r="F451" s="10">
        <v>4090.55</v>
      </c>
      <c r="G451" s="10"/>
      <c r="H451" s="10">
        <v>360</v>
      </c>
      <c r="I451" s="10"/>
      <c r="J451" s="10"/>
      <c r="K451" s="10"/>
      <c r="L451" s="10"/>
      <c r="M451" s="10"/>
      <c r="N451" s="10"/>
      <c r="O451" s="10"/>
      <c r="P451" s="10"/>
      <c r="Q451" s="29">
        <f t="shared" si="156"/>
        <v>4450.55</v>
      </c>
    </row>
    <row r="452" spans="1:17" ht="12">
      <c r="A452" s="11"/>
      <c r="B452" s="12"/>
      <c r="C452" s="13"/>
      <c r="D452" s="27"/>
      <c r="E452" s="14" t="s">
        <v>24</v>
      </c>
      <c r="F452" s="14">
        <f aca="true" t="shared" si="157" ref="F452:P452">SUM(F449:F451)</f>
        <v>10742.36</v>
      </c>
      <c r="G452" s="14">
        <f t="shared" si="157"/>
        <v>0</v>
      </c>
      <c r="H452" s="14">
        <f t="shared" si="157"/>
        <v>720</v>
      </c>
      <c r="I452" s="14">
        <f t="shared" si="157"/>
        <v>0</v>
      </c>
      <c r="J452" s="14">
        <f t="shared" si="157"/>
        <v>0</v>
      </c>
      <c r="K452" s="14">
        <f t="shared" si="157"/>
        <v>0</v>
      </c>
      <c r="L452" s="14">
        <f t="shared" si="157"/>
        <v>0</v>
      </c>
      <c r="M452" s="14">
        <f t="shared" si="157"/>
        <v>0</v>
      </c>
      <c r="N452" s="14">
        <f t="shared" si="157"/>
        <v>0</v>
      </c>
      <c r="O452" s="14">
        <f t="shared" si="157"/>
        <v>0</v>
      </c>
      <c r="P452" s="14">
        <f t="shared" si="157"/>
        <v>0</v>
      </c>
      <c r="Q452" s="55">
        <f t="shared" si="156"/>
        <v>11462.36</v>
      </c>
    </row>
    <row r="453" spans="1:17" ht="12">
      <c r="A453" s="11"/>
      <c r="B453" s="12"/>
      <c r="C453" s="13"/>
      <c r="D453" s="27"/>
      <c r="E453" s="10" t="s">
        <v>25</v>
      </c>
      <c r="F453" s="10">
        <v>1938.95</v>
      </c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29">
        <f t="shared" si="156"/>
        <v>1938.95</v>
      </c>
    </row>
    <row r="454" spans="1:17" ht="12">
      <c r="A454" s="11"/>
      <c r="B454" s="12"/>
      <c r="C454" s="13"/>
      <c r="D454" s="27"/>
      <c r="E454" s="10" t="s">
        <v>26</v>
      </c>
      <c r="F454" s="10">
        <v>1571.89</v>
      </c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29">
        <f t="shared" si="156"/>
        <v>1571.89</v>
      </c>
    </row>
    <row r="455" spans="1:17" ht="12">
      <c r="A455" s="11"/>
      <c r="B455" s="12"/>
      <c r="C455" s="13"/>
      <c r="D455" s="27"/>
      <c r="E455" s="10" t="s">
        <v>27</v>
      </c>
      <c r="F455" s="10">
        <v>3072.48</v>
      </c>
      <c r="G455" s="10"/>
      <c r="H455" s="10">
        <v>120</v>
      </c>
      <c r="I455" s="10"/>
      <c r="J455" s="10"/>
      <c r="K455" s="10"/>
      <c r="L455" s="10"/>
      <c r="M455" s="10"/>
      <c r="N455" s="10"/>
      <c r="O455" s="10"/>
      <c r="P455" s="10"/>
      <c r="Q455" s="29">
        <f t="shared" si="156"/>
        <v>3192.48</v>
      </c>
    </row>
    <row r="456" spans="1:17" ht="12">
      <c r="A456" s="11"/>
      <c r="B456" s="12"/>
      <c r="C456" s="13"/>
      <c r="D456" s="27"/>
      <c r="E456" s="14" t="s">
        <v>28</v>
      </c>
      <c r="F456" s="14">
        <f aca="true" t="shared" si="158" ref="F456:P456">SUM(F453:F455)</f>
        <v>6583.32</v>
      </c>
      <c r="G456" s="14">
        <f t="shared" si="158"/>
        <v>0</v>
      </c>
      <c r="H456" s="14">
        <f t="shared" si="158"/>
        <v>120</v>
      </c>
      <c r="I456" s="14">
        <f t="shared" si="158"/>
        <v>0</v>
      </c>
      <c r="J456" s="14">
        <f t="shared" si="158"/>
        <v>0</v>
      </c>
      <c r="K456" s="14">
        <f t="shared" si="158"/>
        <v>0</v>
      </c>
      <c r="L456" s="14">
        <f t="shared" si="158"/>
        <v>0</v>
      </c>
      <c r="M456" s="14">
        <f t="shared" si="158"/>
        <v>0</v>
      </c>
      <c r="N456" s="14">
        <f t="shared" si="158"/>
        <v>0</v>
      </c>
      <c r="O456" s="14">
        <f t="shared" si="158"/>
        <v>0</v>
      </c>
      <c r="P456" s="14">
        <f t="shared" si="158"/>
        <v>0</v>
      </c>
      <c r="Q456" s="55">
        <f t="shared" si="156"/>
        <v>6703.32</v>
      </c>
    </row>
    <row r="457" spans="1:17" ht="12">
      <c r="A457" s="11"/>
      <c r="B457" s="12"/>
      <c r="C457" s="13"/>
      <c r="D457" s="27"/>
      <c r="E457" s="10" t="s">
        <v>29</v>
      </c>
      <c r="F457" s="16">
        <v>1549.32</v>
      </c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29">
        <f t="shared" si="156"/>
        <v>1549.32</v>
      </c>
    </row>
    <row r="458" spans="1:17" ht="12.75">
      <c r="A458" s="11"/>
      <c r="B458" s="12"/>
      <c r="C458" s="13"/>
      <c r="D458" s="27"/>
      <c r="E458" s="10" t="s">
        <v>30</v>
      </c>
      <c r="F458" s="10">
        <v>2363.2</v>
      </c>
      <c r="G458" s="10"/>
      <c r="H458" s="17">
        <v>120</v>
      </c>
      <c r="I458" s="10"/>
      <c r="J458" s="10"/>
      <c r="K458" s="10"/>
      <c r="L458" s="10"/>
      <c r="M458" s="10"/>
      <c r="N458" s="10"/>
      <c r="O458" s="10"/>
      <c r="P458" s="10"/>
      <c r="Q458" s="29">
        <f t="shared" si="156"/>
        <v>2483.2</v>
      </c>
    </row>
    <row r="459" spans="1:17" ht="12.75">
      <c r="A459" s="11"/>
      <c r="B459" s="12"/>
      <c r="C459" s="13"/>
      <c r="D459" s="27"/>
      <c r="E459" s="10" t="s">
        <v>31</v>
      </c>
      <c r="F459" s="17">
        <v>45.78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29">
        <f t="shared" si="156"/>
        <v>45.78</v>
      </c>
    </row>
    <row r="460" spans="1:17" ht="12">
      <c r="A460" s="11"/>
      <c r="B460" s="12"/>
      <c r="C460" s="13"/>
      <c r="D460" s="27"/>
      <c r="E460" s="14" t="s">
        <v>32</v>
      </c>
      <c r="F460" s="14">
        <f aca="true" t="shared" si="159" ref="F460:P460">SUM(F457:F459)</f>
        <v>3958.2999999999997</v>
      </c>
      <c r="G460" s="14">
        <f t="shared" si="159"/>
        <v>0</v>
      </c>
      <c r="H460" s="14">
        <f t="shared" si="159"/>
        <v>120</v>
      </c>
      <c r="I460" s="14">
        <f t="shared" si="159"/>
        <v>0</v>
      </c>
      <c r="J460" s="14">
        <f t="shared" si="159"/>
        <v>0</v>
      </c>
      <c r="K460" s="14">
        <f t="shared" si="159"/>
        <v>0</v>
      </c>
      <c r="L460" s="14">
        <f t="shared" si="159"/>
        <v>0</v>
      </c>
      <c r="M460" s="14">
        <f t="shared" si="159"/>
        <v>0</v>
      </c>
      <c r="N460" s="14">
        <f t="shared" si="159"/>
        <v>0</v>
      </c>
      <c r="O460" s="14">
        <f t="shared" si="159"/>
        <v>0</v>
      </c>
      <c r="P460" s="14">
        <f t="shared" si="159"/>
        <v>0</v>
      </c>
      <c r="Q460" s="55">
        <f t="shared" si="156"/>
        <v>4078.2999999999997</v>
      </c>
    </row>
    <row r="461" spans="1:17" ht="12">
      <c r="A461" s="11"/>
      <c r="B461" s="12"/>
      <c r="C461" s="13"/>
      <c r="D461" s="27"/>
      <c r="E461" s="10" t="s">
        <v>33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29">
        <f t="shared" si="156"/>
        <v>0</v>
      </c>
    </row>
    <row r="462" spans="1:17" ht="12">
      <c r="A462" s="11"/>
      <c r="B462" s="12"/>
      <c r="C462" s="13"/>
      <c r="D462" s="27"/>
      <c r="E462" s="10" t="s">
        <v>34</v>
      </c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29">
        <f t="shared" si="156"/>
        <v>0</v>
      </c>
    </row>
    <row r="463" spans="1:17" ht="12">
      <c r="A463" s="11"/>
      <c r="B463" s="12"/>
      <c r="C463" s="13"/>
      <c r="D463" s="27"/>
      <c r="E463" s="10" t="s">
        <v>35</v>
      </c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29">
        <f t="shared" si="156"/>
        <v>0</v>
      </c>
    </row>
    <row r="464" spans="1:17" ht="12">
      <c r="A464" s="11"/>
      <c r="B464" s="12"/>
      <c r="C464" s="13"/>
      <c r="D464" s="27"/>
      <c r="E464" s="14" t="s">
        <v>36</v>
      </c>
      <c r="F464" s="14">
        <f aca="true" t="shared" si="160" ref="F464:P464">SUM(F461:F463)</f>
        <v>0</v>
      </c>
      <c r="G464" s="14">
        <f t="shared" si="160"/>
        <v>0</v>
      </c>
      <c r="H464" s="14">
        <f t="shared" si="160"/>
        <v>0</v>
      </c>
      <c r="I464" s="14">
        <f t="shared" si="160"/>
        <v>0</v>
      </c>
      <c r="J464" s="14">
        <f t="shared" si="160"/>
        <v>0</v>
      </c>
      <c r="K464" s="14">
        <f t="shared" si="160"/>
        <v>0</v>
      </c>
      <c r="L464" s="14">
        <f t="shared" si="160"/>
        <v>0</v>
      </c>
      <c r="M464" s="14">
        <f t="shared" si="160"/>
        <v>0</v>
      </c>
      <c r="N464" s="14">
        <f t="shared" si="160"/>
        <v>0</v>
      </c>
      <c r="O464" s="14">
        <f t="shared" si="160"/>
        <v>0</v>
      </c>
      <c r="P464" s="14">
        <f t="shared" si="160"/>
        <v>0</v>
      </c>
      <c r="Q464" s="55">
        <f t="shared" si="156"/>
        <v>0</v>
      </c>
    </row>
    <row r="465" spans="1:17" ht="12.75" thickBot="1">
      <c r="A465" s="11"/>
      <c r="B465" s="12"/>
      <c r="C465" s="13"/>
      <c r="D465" s="27"/>
      <c r="E465" s="22" t="s">
        <v>37</v>
      </c>
      <c r="F465" s="22">
        <f aca="true" t="shared" si="161" ref="F465:Q465">F452+F456+F460+F464</f>
        <v>21283.98</v>
      </c>
      <c r="G465" s="22">
        <f t="shared" si="161"/>
        <v>0</v>
      </c>
      <c r="H465" s="22">
        <f t="shared" si="161"/>
        <v>960</v>
      </c>
      <c r="I465" s="22">
        <f t="shared" si="161"/>
        <v>0</v>
      </c>
      <c r="J465" s="22">
        <f t="shared" si="161"/>
        <v>0</v>
      </c>
      <c r="K465" s="22">
        <f t="shared" si="161"/>
        <v>0</v>
      </c>
      <c r="L465" s="22">
        <f t="shared" si="161"/>
        <v>0</v>
      </c>
      <c r="M465" s="22">
        <f t="shared" si="161"/>
        <v>0</v>
      </c>
      <c r="N465" s="22">
        <f t="shared" si="161"/>
        <v>0</v>
      </c>
      <c r="O465" s="22">
        <f t="shared" si="161"/>
        <v>0</v>
      </c>
      <c r="P465" s="35">
        <f t="shared" si="161"/>
        <v>0</v>
      </c>
      <c r="Q465" s="23">
        <f t="shared" si="161"/>
        <v>22243.98</v>
      </c>
    </row>
    <row r="466" spans="1:17" ht="12">
      <c r="A466" s="11">
        <v>28</v>
      </c>
      <c r="B466" s="12">
        <v>52</v>
      </c>
      <c r="C466" s="13" t="s">
        <v>90</v>
      </c>
      <c r="D466" s="27" t="s">
        <v>91</v>
      </c>
      <c r="E466" s="10" t="s">
        <v>21</v>
      </c>
      <c r="F466" s="10">
        <v>3724.06</v>
      </c>
      <c r="G466" s="10"/>
      <c r="H466" s="10">
        <v>480</v>
      </c>
      <c r="I466" s="10"/>
      <c r="J466" s="10"/>
      <c r="K466" s="10"/>
      <c r="L466" s="10"/>
      <c r="M466" s="10"/>
      <c r="N466" s="10"/>
      <c r="O466" s="10"/>
      <c r="P466" s="10"/>
      <c r="Q466" s="29">
        <f aca="true" t="shared" si="162" ref="Q466:Q481">SUM(F466:P466)</f>
        <v>4204.0599999999995</v>
      </c>
    </row>
    <row r="467" spans="1:17" ht="12">
      <c r="A467" s="11"/>
      <c r="B467" s="12"/>
      <c r="C467" s="13"/>
      <c r="D467" s="27"/>
      <c r="E467" s="10" t="s">
        <v>22</v>
      </c>
      <c r="F467" s="10">
        <v>3937.37</v>
      </c>
      <c r="G467" s="10"/>
      <c r="H467" s="10">
        <v>360</v>
      </c>
      <c r="I467" s="10"/>
      <c r="J467" s="10"/>
      <c r="K467" s="10"/>
      <c r="L467" s="10"/>
      <c r="M467" s="10"/>
      <c r="N467" s="10"/>
      <c r="O467" s="10"/>
      <c r="P467" s="10"/>
      <c r="Q467" s="29">
        <f t="shared" si="162"/>
        <v>4297.37</v>
      </c>
    </row>
    <row r="468" spans="1:17" ht="12">
      <c r="A468" s="11"/>
      <c r="B468" s="12"/>
      <c r="C468" s="13"/>
      <c r="D468" s="27"/>
      <c r="E468" s="10" t="s">
        <v>23</v>
      </c>
      <c r="F468" s="10">
        <v>2680.04</v>
      </c>
      <c r="G468" s="10"/>
      <c r="H468" s="10">
        <v>360</v>
      </c>
      <c r="I468" s="10"/>
      <c r="J468" s="10"/>
      <c r="K468" s="10"/>
      <c r="L468" s="10"/>
      <c r="M468" s="10"/>
      <c r="N468" s="10"/>
      <c r="O468" s="10"/>
      <c r="P468" s="10"/>
      <c r="Q468" s="29">
        <f t="shared" si="162"/>
        <v>3040.04</v>
      </c>
    </row>
    <row r="469" spans="1:17" ht="12">
      <c r="A469" s="11"/>
      <c r="B469" s="12"/>
      <c r="C469" s="13"/>
      <c r="D469" s="27"/>
      <c r="E469" s="14" t="s">
        <v>24</v>
      </c>
      <c r="F469" s="14">
        <f aca="true" t="shared" si="163" ref="F469:P469">SUM(F466:F468)</f>
        <v>10341.470000000001</v>
      </c>
      <c r="G469" s="14">
        <f t="shared" si="163"/>
        <v>0</v>
      </c>
      <c r="H469" s="14">
        <f t="shared" si="163"/>
        <v>1200</v>
      </c>
      <c r="I469" s="14">
        <f t="shared" si="163"/>
        <v>0</v>
      </c>
      <c r="J469" s="14">
        <f t="shared" si="163"/>
        <v>0</v>
      </c>
      <c r="K469" s="14">
        <f t="shared" si="163"/>
        <v>0</v>
      </c>
      <c r="L469" s="14">
        <f t="shared" si="163"/>
        <v>0</v>
      </c>
      <c r="M469" s="14">
        <f t="shared" si="163"/>
        <v>0</v>
      </c>
      <c r="N469" s="14">
        <f t="shared" si="163"/>
        <v>0</v>
      </c>
      <c r="O469" s="14">
        <f t="shared" si="163"/>
        <v>0</v>
      </c>
      <c r="P469" s="14">
        <f t="shared" si="163"/>
        <v>0</v>
      </c>
      <c r="Q469" s="55">
        <f t="shared" si="162"/>
        <v>11541.470000000001</v>
      </c>
    </row>
    <row r="470" spans="1:17" ht="12">
      <c r="A470" s="11"/>
      <c r="B470" s="12"/>
      <c r="C470" s="13"/>
      <c r="D470" s="27"/>
      <c r="E470" s="10" t="s">
        <v>25</v>
      </c>
      <c r="F470" s="10">
        <v>5668.85</v>
      </c>
      <c r="G470" s="10"/>
      <c r="H470" s="10">
        <v>600</v>
      </c>
      <c r="I470" s="10"/>
      <c r="J470" s="10"/>
      <c r="K470" s="10"/>
      <c r="L470" s="10"/>
      <c r="M470" s="10"/>
      <c r="N470" s="10"/>
      <c r="O470" s="10"/>
      <c r="P470" s="10"/>
      <c r="Q470" s="29">
        <f t="shared" si="162"/>
        <v>6268.85</v>
      </c>
    </row>
    <row r="471" spans="1:17" ht="12">
      <c r="A471" s="11"/>
      <c r="B471" s="12"/>
      <c r="C471" s="13"/>
      <c r="D471" s="27"/>
      <c r="E471" s="10" t="s">
        <v>26</v>
      </c>
      <c r="F471" s="10">
        <v>5349.95</v>
      </c>
      <c r="G471" s="10"/>
      <c r="H471" s="10">
        <v>480</v>
      </c>
      <c r="I471" s="10"/>
      <c r="J471" s="10"/>
      <c r="K471" s="10">
        <v>93.65</v>
      </c>
      <c r="L471" s="10"/>
      <c r="M471" s="10"/>
      <c r="N471" s="10"/>
      <c r="O471" s="10"/>
      <c r="P471" s="10"/>
      <c r="Q471" s="29">
        <f t="shared" si="162"/>
        <v>5923.599999999999</v>
      </c>
    </row>
    <row r="472" spans="1:17" ht="12">
      <c r="A472" s="11"/>
      <c r="B472" s="12"/>
      <c r="C472" s="13"/>
      <c r="D472" s="27"/>
      <c r="E472" s="10" t="s">
        <v>27</v>
      </c>
      <c r="F472" s="10">
        <v>2827.55</v>
      </c>
      <c r="G472" s="10"/>
      <c r="H472" s="10">
        <v>360</v>
      </c>
      <c r="I472" s="10"/>
      <c r="J472" s="10"/>
      <c r="K472" s="10"/>
      <c r="L472" s="10"/>
      <c r="M472" s="10"/>
      <c r="N472" s="10"/>
      <c r="O472" s="10"/>
      <c r="P472" s="10"/>
      <c r="Q472" s="29">
        <f t="shared" si="162"/>
        <v>3187.55</v>
      </c>
    </row>
    <row r="473" spans="1:17" ht="12">
      <c r="A473" s="11"/>
      <c r="B473" s="12"/>
      <c r="C473" s="13"/>
      <c r="D473" s="27"/>
      <c r="E473" s="14" t="s">
        <v>28</v>
      </c>
      <c r="F473" s="14">
        <f aca="true" t="shared" si="164" ref="F473:P473">SUM(F470:F472)</f>
        <v>13846.349999999999</v>
      </c>
      <c r="G473" s="14">
        <f t="shared" si="164"/>
        <v>0</v>
      </c>
      <c r="H473" s="14">
        <f t="shared" si="164"/>
        <v>1440</v>
      </c>
      <c r="I473" s="14">
        <f t="shared" si="164"/>
        <v>0</v>
      </c>
      <c r="J473" s="14">
        <f t="shared" si="164"/>
        <v>0</v>
      </c>
      <c r="K473" s="14">
        <f t="shared" si="164"/>
        <v>93.65</v>
      </c>
      <c r="L473" s="14">
        <f t="shared" si="164"/>
        <v>0</v>
      </c>
      <c r="M473" s="14">
        <f t="shared" si="164"/>
        <v>0</v>
      </c>
      <c r="N473" s="14">
        <f t="shared" si="164"/>
        <v>0</v>
      </c>
      <c r="O473" s="14">
        <f t="shared" si="164"/>
        <v>0</v>
      </c>
      <c r="P473" s="14">
        <f t="shared" si="164"/>
        <v>0</v>
      </c>
      <c r="Q473" s="55">
        <f t="shared" si="162"/>
        <v>15379.999999999998</v>
      </c>
    </row>
    <row r="474" spans="1:17" ht="12">
      <c r="A474" s="11"/>
      <c r="B474" s="12"/>
      <c r="C474" s="13"/>
      <c r="D474" s="27"/>
      <c r="E474" s="10" t="s">
        <v>29</v>
      </c>
      <c r="F474" s="10">
        <v>1849.93</v>
      </c>
      <c r="G474" s="10"/>
      <c r="H474" s="16">
        <v>120</v>
      </c>
      <c r="I474" s="10"/>
      <c r="J474" s="10"/>
      <c r="K474" s="10"/>
      <c r="L474" s="10"/>
      <c r="M474" s="10"/>
      <c r="N474" s="10"/>
      <c r="O474" s="10"/>
      <c r="P474" s="10"/>
      <c r="Q474" s="29">
        <f t="shared" si="162"/>
        <v>1969.93</v>
      </c>
    </row>
    <row r="475" spans="1:17" ht="12.75">
      <c r="A475" s="11"/>
      <c r="B475" s="12"/>
      <c r="C475" s="13"/>
      <c r="D475" s="27"/>
      <c r="E475" s="10" t="s">
        <v>30</v>
      </c>
      <c r="F475" s="10">
        <v>3215.01</v>
      </c>
      <c r="G475" s="10"/>
      <c r="H475" s="17">
        <v>360</v>
      </c>
      <c r="I475" s="10"/>
      <c r="J475" s="10"/>
      <c r="K475" s="10"/>
      <c r="L475" s="10"/>
      <c r="M475" s="10"/>
      <c r="N475" s="10"/>
      <c r="O475" s="10"/>
      <c r="P475" s="10"/>
      <c r="Q475" s="29">
        <f t="shared" si="162"/>
        <v>3575.01</v>
      </c>
    </row>
    <row r="476" spans="1:17" ht="12.75">
      <c r="A476" s="11"/>
      <c r="B476" s="12"/>
      <c r="C476" s="13"/>
      <c r="D476" s="27"/>
      <c r="E476" s="10" t="s">
        <v>31</v>
      </c>
      <c r="F476" s="10">
        <v>2476.8999999999996</v>
      </c>
      <c r="G476" s="10"/>
      <c r="H476" s="17">
        <v>240</v>
      </c>
      <c r="I476" s="10"/>
      <c r="J476" s="10"/>
      <c r="K476" s="10"/>
      <c r="L476" s="10"/>
      <c r="M476" s="10"/>
      <c r="N476" s="10"/>
      <c r="O476" s="10"/>
      <c r="P476" s="10"/>
      <c r="Q476" s="29">
        <f t="shared" si="162"/>
        <v>2716.8999999999996</v>
      </c>
    </row>
    <row r="477" spans="1:17" ht="12">
      <c r="A477" s="11"/>
      <c r="B477" s="12"/>
      <c r="C477" s="13"/>
      <c r="D477" s="27"/>
      <c r="E477" s="14" t="s">
        <v>32</v>
      </c>
      <c r="F477" s="14">
        <f aca="true" t="shared" si="165" ref="F477:P477">SUM(F474:F476)</f>
        <v>7541.84</v>
      </c>
      <c r="G477" s="14">
        <f t="shared" si="165"/>
        <v>0</v>
      </c>
      <c r="H477" s="14">
        <f t="shared" si="165"/>
        <v>720</v>
      </c>
      <c r="I477" s="14">
        <f t="shared" si="165"/>
        <v>0</v>
      </c>
      <c r="J477" s="14">
        <f t="shared" si="165"/>
        <v>0</v>
      </c>
      <c r="K477" s="14">
        <f t="shared" si="165"/>
        <v>0</v>
      </c>
      <c r="L477" s="14">
        <f t="shared" si="165"/>
        <v>0</v>
      </c>
      <c r="M477" s="14">
        <f t="shared" si="165"/>
        <v>0</v>
      </c>
      <c r="N477" s="14">
        <f t="shared" si="165"/>
        <v>0</v>
      </c>
      <c r="O477" s="14">
        <f t="shared" si="165"/>
        <v>0</v>
      </c>
      <c r="P477" s="14">
        <f t="shared" si="165"/>
        <v>0</v>
      </c>
      <c r="Q477" s="55">
        <f t="shared" si="162"/>
        <v>8261.84</v>
      </c>
    </row>
    <row r="478" spans="1:17" ht="12.75">
      <c r="A478" s="11"/>
      <c r="B478" s="12"/>
      <c r="C478" s="13"/>
      <c r="D478" s="27"/>
      <c r="E478" s="10" t="s">
        <v>33</v>
      </c>
      <c r="F478" s="10">
        <v>2047.36</v>
      </c>
      <c r="G478" s="10"/>
      <c r="H478" s="17">
        <v>240</v>
      </c>
      <c r="I478" s="10"/>
      <c r="J478" s="10"/>
      <c r="K478" s="10"/>
      <c r="L478" s="10"/>
      <c r="M478" s="10"/>
      <c r="N478" s="10"/>
      <c r="O478" s="10"/>
      <c r="P478" s="10"/>
      <c r="Q478" s="29">
        <f t="shared" si="162"/>
        <v>2287.3599999999997</v>
      </c>
    </row>
    <row r="479" spans="1:17" ht="12.75">
      <c r="A479" s="11"/>
      <c r="B479" s="12"/>
      <c r="C479" s="13"/>
      <c r="D479" s="27"/>
      <c r="E479" s="10" t="s">
        <v>34</v>
      </c>
      <c r="F479" s="10">
        <v>4124.44</v>
      </c>
      <c r="G479" s="10"/>
      <c r="H479" s="17">
        <v>360</v>
      </c>
      <c r="I479" s="10"/>
      <c r="J479" s="10"/>
      <c r="K479" s="10"/>
      <c r="L479" s="10"/>
      <c r="M479" s="10"/>
      <c r="N479" s="10"/>
      <c r="O479" s="10"/>
      <c r="P479" s="10"/>
      <c r="Q479" s="29">
        <f t="shared" si="162"/>
        <v>4484.44</v>
      </c>
    </row>
    <row r="480" spans="1:17" ht="12.75">
      <c r="A480" s="11"/>
      <c r="B480" s="12"/>
      <c r="C480" s="13"/>
      <c r="D480" s="27"/>
      <c r="E480" s="10" t="s">
        <v>35</v>
      </c>
      <c r="F480" s="10">
        <v>1643.18</v>
      </c>
      <c r="G480" s="10"/>
      <c r="H480" s="18">
        <v>120</v>
      </c>
      <c r="I480" s="10"/>
      <c r="J480" s="10"/>
      <c r="K480" s="10"/>
      <c r="L480" s="10"/>
      <c r="M480" s="10"/>
      <c r="N480" s="10"/>
      <c r="O480" s="10"/>
      <c r="P480" s="10"/>
      <c r="Q480" s="29">
        <f t="shared" si="162"/>
        <v>1763.18</v>
      </c>
    </row>
    <row r="481" spans="1:17" ht="12">
      <c r="A481" s="11"/>
      <c r="B481" s="12"/>
      <c r="C481" s="13"/>
      <c r="D481" s="27"/>
      <c r="E481" s="14" t="s">
        <v>36</v>
      </c>
      <c r="F481" s="14">
        <f aca="true" t="shared" si="166" ref="F481:P481">SUM(F478:F480)</f>
        <v>7814.98</v>
      </c>
      <c r="G481" s="14">
        <f t="shared" si="166"/>
        <v>0</v>
      </c>
      <c r="H481" s="14">
        <f t="shared" si="166"/>
        <v>720</v>
      </c>
      <c r="I481" s="14">
        <f t="shared" si="166"/>
        <v>0</v>
      </c>
      <c r="J481" s="14">
        <f t="shared" si="166"/>
        <v>0</v>
      </c>
      <c r="K481" s="14">
        <f t="shared" si="166"/>
        <v>0</v>
      </c>
      <c r="L481" s="14">
        <f t="shared" si="166"/>
        <v>0</v>
      </c>
      <c r="M481" s="14">
        <f t="shared" si="166"/>
        <v>0</v>
      </c>
      <c r="N481" s="14">
        <f t="shared" si="166"/>
        <v>0</v>
      </c>
      <c r="O481" s="14">
        <f t="shared" si="166"/>
        <v>0</v>
      </c>
      <c r="P481" s="14">
        <f t="shared" si="166"/>
        <v>0</v>
      </c>
      <c r="Q481" s="55">
        <f t="shared" si="162"/>
        <v>8534.98</v>
      </c>
    </row>
    <row r="482" spans="1:17" ht="12.75" thickBot="1">
      <c r="A482" s="11"/>
      <c r="B482" s="12"/>
      <c r="C482" s="13"/>
      <c r="D482" s="27"/>
      <c r="E482" s="22" t="s">
        <v>37</v>
      </c>
      <c r="F482" s="22">
        <f aca="true" t="shared" si="167" ref="F482:Q482">F469+F473+F477+F481</f>
        <v>39544.64</v>
      </c>
      <c r="G482" s="22">
        <f t="shared" si="167"/>
        <v>0</v>
      </c>
      <c r="H482" s="22">
        <f t="shared" si="167"/>
        <v>4080</v>
      </c>
      <c r="I482" s="22">
        <f t="shared" si="167"/>
        <v>0</v>
      </c>
      <c r="J482" s="22">
        <f t="shared" si="167"/>
        <v>0</v>
      </c>
      <c r="K482" s="22">
        <f t="shared" si="167"/>
        <v>93.65</v>
      </c>
      <c r="L482" s="22">
        <f t="shared" si="167"/>
        <v>0</v>
      </c>
      <c r="M482" s="22">
        <f t="shared" si="167"/>
        <v>0</v>
      </c>
      <c r="N482" s="22">
        <f t="shared" si="167"/>
        <v>0</v>
      </c>
      <c r="O482" s="22">
        <f t="shared" si="167"/>
        <v>0</v>
      </c>
      <c r="P482" s="35">
        <f t="shared" si="167"/>
        <v>0</v>
      </c>
      <c r="Q482" s="23">
        <f t="shared" si="167"/>
        <v>43718.28999999999</v>
      </c>
    </row>
    <row r="483" spans="1:17" ht="12">
      <c r="A483" s="11">
        <v>29</v>
      </c>
      <c r="B483" s="12">
        <v>46</v>
      </c>
      <c r="C483" s="13" t="s">
        <v>92</v>
      </c>
      <c r="D483" s="27" t="s">
        <v>93</v>
      </c>
      <c r="E483" s="10" t="s">
        <v>21</v>
      </c>
      <c r="F483" s="10">
        <v>17726.27</v>
      </c>
      <c r="G483" s="10"/>
      <c r="H483" s="10">
        <v>1320</v>
      </c>
      <c r="I483" s="10"/>
      <c r="J483" s="10"/>
      <c r="K483" s="10">
        <v>42036.3</v>
      </c>
      <c r="L483" s="10"/>
      <c r="M483" s="10"/>
      <c r="N483" s="10"/>
      <c r="O483" s="10">
        <v>2145.65</v>
      </c>
      <c r="P483" s="10"/>
      <c r="Q483" s="29">
        <f aca="true" t="shared" si="168" ref="Q483:Q498">SUM(F483:P483)</f>
        <v>63228.22000000001</v>
      </c>
    </row>
    <row r="484" spans="1:17" ht="12">
      <c r="A484" s="11"/>
      <c r="B484" s="12"/>
      <c r="C484" s="13"/>
      <c r="D484" s="27"/>
      <c r="E484" s="10" t="s">
        <v>22</v>
      </c>
      <c r="F484" s="10">
        <v>55270.19</v>
      </c>
      <c r="G484" s="10"/>
      <c r="H484" s="10">
        <v>3840</v>
      </c>
      <c r="I484" s="10"/>
      <c r="J484" s="10"/>
      <c r="K484" s="10">
        <v>31983.98</v>
      </c>
      <c r="L484" s="10"/>
      <c r="M484" s="10"/>
      <c r="N484" s="10"/>
      <c r="O484" s="10">
        <v>551.07</v>
      </c>
      <c r="P484" s="10"/>
      <c r="Q484" s="29">
        <f t="shared" si="168"/>
        <v>91645.24</v>
      </c>
    </row>
    <row r="485" spans="1:17" ht="12">
      <c r="A485" s="11"/>
      <c r="B485" s="12"/>
      <c r="C485" s="13"/>
      <c r="D485" s="27"/>
      <c r="E485" s="10" t="s">
        <v>23</v>
      </c>
      <c r="F485" s="15">
        <f>50546-50546</f>
        <v>0</v>
      </c>
      <c r="G485" s="10"/>
      <c r="H485" s="10">
        <v>3480</v>
      </c>
      <c r="I485" s="10"/>
      <c r="J485" s="10"/>
      <c r="K485" s="15">
        <f>57608-57608</f>
        <v>0</v>
      </c>
      <c r="L485" s="10"/>
      <c r="M485" s="10"/>
      <c r="N485" s="10"/>
      <c r="O485" s="10"/>
      <c r="P485" s="10">
        <v>14853.26</v>
      </c>
      <c r="Q485" s="29">
        <f t="shared" si="168"/>
        <v>18333.260000000002</v>
      </c>
    </row>
    <row r="486" spans="1:17" ht="12">
      <c r="A486" s="11"/>
      <c r="B486" s="12"/>
      <c r="C486" s="13"/>
      <c r="D486" s="27"/>
      <c r="E486" s="14" t="s">
        <v>24</v>
      </c>
      <c r="F486" s="14">
        <f aca="true" t="shared" si="169" ref="F486:P486">SUM(F483:F485)</f>
        <v>72996.46</v>
      </c>
      <c r="G486" s="14">
        <f t="shared" si="169"/>
        <v>0</v>
      </c>
      <c r="H486" s="14">
        <f t="shared" si="169"/>
        <v>8640</v>
      </c>
      <c r="I486" s="14">
        <f t="shared" si="169"/>
        <v>0</v>
      </c>
      <c r="J486" s="14">
        <f t="shared" si="169"/>
        <v>0</v>
      </c>
      <c r="K486" s="14">
        <f t="shared" si="169"/>
        <v>74020.28</v>
      </c>
      <c r="L486" s="14">
        <f t="shared" si="169"/>
        <v>0</v>
      </c>
      <c r="M486" s="14">
        <f t="shared" si="169"/>
        <v>0</v>
      </c>
      <c r="N486" s="14">
        <f t="shared" si="169"/>
        <v>0</v>
      </c>
      <c r="O486" s="14">
        <f t="shared" si="169"/>
        <v>2696.7200000000003</v>
      </c>
      <c r="P486" s="14">
        <f t="shared" si="169"/>
        <v>14853.26</v>
      </c>
      <c r="Q486" s="55">
        <f t="shared" si="168"/>
        <v>173206.72</v>
      </c>
    </row>
    <row r="487" spans="1:17" ht="12">
      <c r="A487" s="11"/>
      <c r="B487" s="12"/>
      <c r="C487" s="13"/>
      <c r="D487" s="27"/>
      <c r="E487" s="10" t="s">
        <v>25</v>
      </c>
      <c r="F487" s="10">
        <f>50546+23907.91</f>
        <v>74453.91</v>
      </c>
      <c r="G487" s="10"/>
      <c r="H487" s="10">
        <v>2040</v>
      </c>
      <c r="I487" s="10"/>
      <c r="J487" s="10"/>
      <c r="K487" s="10">
        <f>57608+72908.95</f>
        <v>130516.95</v>
      </c>
      <c r="L487" s="10"/>
      <c r="M487" s="10"/>
      <c r="N487" s="10"/>
      <c r="O487" s="10">
        <v>2696.73</v>
      </c>
      <c r="P487" s="10">
        <v>14853.26</v>
      </c>
      <c r="Q487" s="29">
        <f t="shared" si="168"/>
        <v>224560.85</v>
      </c>
    </row>
    <row r="488" spans="1:17" ht="12">
      <c r="A488" s="11"/>
      <c r="B488" s="12"/>
      <c r="C488" s="13"/>
      <c r="D488" s="27"/>
      <c r="E488" s="10" t="s">
        <v>26</v>
      </c>
      <c r="F488" s="10">
        <v>39096.05</v>
      </c>
      <c r="G488" s="10"/>
      <c r="H488" s="10">
        <v>3720</v>
      </c>
      <c r="I488" s="10"/>
      <c r="J488" s="10"/>
      <c r="K488" s="10">
        <v>91494.05</v>
      </c>
      <c r="L488" s="10"/>
      <c r="M488" s="10"/>
      <c r="N488" s="10"/>
      <c r="O488" s="10"/>
      <c r="P488" s="10">
        <v>14853.26</v>
      </c>
      <c r="Q488" s="29">
        <f t="shared" si="168"/>
        <v>149163.36000000002</v>
      </c>
    </row>
    <row r="489" spans="1:17" ht="12">
      <c r="A489" s="11"/>
      <c r="B489" s="12"/>
      <c r="C489" s="13"/>
      <c r="D489" s="27"/>
      <c r="E489" s="10" t="s">
        <v>27</v>
      </c>
      <c r="F489" s="10">
        <f>39228.37-39228.37</f>
        <v>0</v>
      </c>
      <c r="G489" s="10"/>
      <c r="H489" s="10">
        <v>3960</v>
      </c>
      <c r="I489" s="10"/>
      <c r="J489" s="10"/>
      <c r="K489" s="10">
        <v>78126.33</v>
      </c>
      <c r="L489" s="10"/>
      <c r="M489" s="10"/>
      <c r="N489" s="10"/>
      <c r="O489" s="10"/>
      <c r="P489" s="10">
        <v>14853.26</v>
      </c>
      <c r="Q489" s="29">
        <f t="shared" si="168"/>
        <v>96939.59</v>
      </c>
    </row>
    <row r="490" spans="1:17" ht="12">
      <c r="A490" s="11"/>
      <c r="B490" s="12"/>
      <c r="C490" s="13"/>
      <c r="D490" s="27"/>
      <c r="E490" s="14" t="s">
        <v>28</v>
      </c>
      <c r="F490" s="14">
        <f aca="true" t="shared" si="170" ref="F490:P490">SUM(F487:F489)</f>
        <v>113549.96</v>
      </c>
      <c r="G490" s="14">
        <f t="shared" si="170"/>
        <v>0</v>
      </c>
      <c r="H490" s="14">
        <f t="shared" si="170"/>
        <v>9720</v>
      </c>
      <c r="I490" s="14">
        <f t="shared" si="170"/>
        <v>0</v>
      </c>
      <c r="J490" s="14">
        <f t="shared" si="170"/>
        <v>0</v>
      </c>
      <c r="K490" s="14">
        <f t="shared" si="170"/>
        <v>300137.33</v>
      </c>
      <c r="L490" s="14">
        <f t="shared" si="170"/>
        <v>0</v>
      </c>
      <c r="M490" s="14">
        <f t="shared" si="170"/>
        <v>0</v>
      </c>
      <c r="N490" s="14">
        <f t="shared" si="170"/>
        <v>0</v>
      </c>
      <c r="O490" s="14">
        <f t="shared" si="170"/>
        <v>2696.73</v>
      </c>
      <c r="P490" s="14">
        <f t="shared" si="170"/>
        <v>44559.78</v>
      </c>
      <c r="Q490" s="55">
        <f t="shared" si="168"/>
        <v>470663.80000000005</v>
      </c>
    </row>
    <row r="491" spans="1:17" ht="12">
      <c r="A491" s="11"/>
      <c r="B491" s="12"/>
      <c r="C491" s="13"/>
      <c r="D491" s="27"/>
      <c r="E491" s="10" t="s">
        <v>29</v>
      </c>
      <c r="F491" s="15">
        <f>39228.37+32172.51</f>
        <v>71400.88</v>
      </c>
      <c r="G491" s="10"/>
      <c r="H491" s="16">
        <v>3000</v>
      </c>
      <c r="I491" s="10"/>
      <c r="J491" s="10"/>
      <c r="K491" s="16">
        <v>94404.87</v>
      </c>
      <c r="L491" s="10"/>
      <c r="M491" s="10"/>
      <c r="N491" s="10"/>
      <c r="O491" s="16">
        <v>2639.3</v>
      </c>
      <c r="P491" s="16">
        <v>14853.26</v>
      </c>
      <c r="Q491" s="29">
        <f t="shared" si="168"/>
        <v>186298.31</v>
      </c>
    </row>
    <row r="492" spans="1:17" ht="12.75">
      <c r="A492" s="11"/>
      <c r="B492" s="12"/>
      <c r="C492" s="13"/>
      <c r="D492" s="27"/>
      <c r="E492" s="10" t="s">
        <v>30</v>
      </c>
      <c r="F492" s="10">
        <v>43170.4</v>
      </c>
      <c r="G492" s="10"/>
      <c r="H492" s="10">
        <v>3600</v>
      </c>
      <c r="I492" s="10"/>
      <c r="J492" s="10"/>
      <c r="K492" s="17">
        <v>87987.74</v>
      </c>
      <c r="L492" s="10"/>
      <c r="M492" s="10"/>
      <c r="N492" s="10"/>
      <c r="O492" s="10"/>
      <c r="P492" s="17">
        <v>14853.26</v>
      </c>
      <c r="Q492" s="29">
        <f t="shared" si="168"/>
        <v>149611.40000000002</v>
      </c>
    </row>
    <row r="493" spans="1:17" ht="12.75">
      <c r="A493" s="11"/>
      <c r="B493" s="12"/>
      <c r="C493" s="13"/>
      <c r="D493" s="27"/>
      <c r="E493" s="10" t="s">
        <v>31</v>
      </c>
      <c r="F493" s="15">
        <f>42936.04-42936.04+14882.02</f>
        <v>14882.02</v>
      </c>
      <c r="G493" s="10"/>
      <c r="H493" s="17">
        <v>3120</v>
      </c>
      <c r="I493" s="10"/>
      <c r="J493" s="10"/>
      <c r="K493" s="17">
        <v>83950.7</v>
      </c>
      <c r="L493" s="10"/>
      <c r="M493" s="10"/>
      <c r="N493" s="10"/>
      <c r="O493" s="10"/>
      <c r="P493" s="10"/>
      <c r="Q493" s="29">
        <f t="shared" si="168"/>
        <v>101952.72</v>
      </c>
    </row>
    <row r="494" spans="1:17" ht="12">
      <c r="A494" s="11"/>
      <c r="B494" s="12"/>
      <c r="C494" s="13"/>
      <c r="D494" s="27"/>
      <c r="E494" s="14" t="s">
        <v>32</v>
      </c>
      <c r="F494" s="14">
        <f aca="true" t="shared" si="171" ref="F494:P494">SUM(F491:F493)</f>
        <v>129453.3</v>
      </c>
      <c r="G494" s="14">
        <f t="shared" si="171"/>
        <v>0</v>
      </c>
      <c r="H494" s="14">
        <f t="shared" si="171"/>
        <v>9720</v>
      </c>
      <c r="I494" s="14">
        <f t="shared" si="171"/>
        <v>0</v>
      </c>
      <c r="J494" s="14">
        <f t="shared" si="171"/>
        <v>0</v>
      </c>
      <c r="K494" s="14">
        <f t="shared" si="171"/>
        <v>266343.31</v>
      </c>
      <c r="L494" s="14">
        <f t="shared" si="171"/>
        <v>0</v>
      </c>
      <c r="M494" s="14">
        <f t="shared" si="171"/>
        <v>0</v>
      </c>
      <c r="N494" s="14">
        <f t="shared" si="171"/>
        <v>0</v>
      </c>
      <c r="O494" s="14">
        <f t="shared" si="171"/>
        <v>2639.3</v>
      </c>
      <c r="P494" s="14">
        <f t="shared" si="171"/>
        <v>29706.52</v>
      </c>
      <c r="Q494" s="55">
        <f t="shared" si="168"/>
        <v>437862.43</v>
      </c>
    </row>
    <row r="495" spans="1:17" ht="12.75">
      <c r="A495" s="11"/>
      <c r="B495" s="12"/>
      <c r="C495" s="13"/>
      <c r="D495" s="27"/>
      <c r="E495" s="10" t="s">
        <v>33</v>
      </c>
      <c r="F495" s="15">
        <f>42936.04-14882.02+39126.78</f>
        <v>67180.8</v>
      </c>
      <c r="G495" s="10"/>
      <c r="H495" s="10">
        <v>2160</v>
      </c>
      <c r="I495" s="10"/>
      <c r="J495" s="10"/>
      <c r="K495" s="17">
        <v>55258.29</v>
      </c>
      <c r="L495" s="10"/>
      <c r="M495" s="10"/>
      <c r="N495" s="10"/>
      <c r="O495" s="17">
        <v>2422.99</v>
      </c>
      <c r="P495" s="10"/>
      <c r="Q495" s="29">
        <f t="shared" si="168"/>
        <v>127022.08</v>
      </c>
    </row>
    <row r="496" spans="1:17" ht="12.75">
      <c r="A496" s="11"/>
      <c r="B496" s="12"/>
      <c r="C496" s="13"/>
      <c r="D496" s="27"/>
      <c r="E496" s="10" t="s">
        <v>34</v>
      </c>
      <c r="F496" s="10">
        <v>47388.57</v>
      </c>
      <c r="G496" s="10"/>
      <c r="H496" s="10">
        <v>3240</v>
      </c>
      <c r="I496" s="10"/>
      <c r="J496" s="10"/>
      <c r="K496" s="17">
        <v>84066.07</v>
      </c>
      <c r="L496" s="10"/>
      <c r="M496" s="10"/>
      <c r="N496" s="10"/>
      <c r="O496" s="10"/>
      <c r="P496" s="17">
        <v>14853.26</v>
      </c>
      <c r="Q496" s="29">
        <f t="shared" si="168"/>
        <v>149547.90000000002</v>
      </c>
    </row>
    <row r="497" spans="1:17" ht="12.75">
      <c r="A497" s="11"/>
      <c r="B497" s="12"/>
      <c r="C497" s="13"/>
      <c r="D497" s="27"/>
      <c r="E497" s="10" t="s">
        <v>35</v>
      </c>
      <c r="F497" s="10">
        <f>41626.14</f>
        <v>41626.14</v>
      </c>
      <c r="G497" s="10"/>
      <c r="H497" s="18">
        <v>2880</v>
      </c>
      <c r="I497" s="10"/>
      <c r="J497" s="10"/>
      <c r="K497" s="10"/>
      <c r="L497" s="10"/>
      <c r="M497" s="10"/>
      <c r="N497" s="10"/>
      <c r="O497" s="10"/>
      <c r="P497" s="18">
        <v>28279.59</v>
      </c>
      <c r="Q497" s="29">
        <f t="shared" si="168"/>
        <v>72785.73</v>
      </c>
    </row>
    <row r="498" spans="1:17" ht="12">
      <c r="A498" s="11"/>
      <c r="B498" s="12"/>
      <c r="C498" s="13"/>
      <c r="D498" s="27"/>
      <c r="E498" s="14" t="s">
        <v>36</v>
      </c>
      <c r="F498" s="14">
        <f aca="true" t="shared" si="172" ref="F498:P498">SUM(F495:F497)</f>
        <v>156195.51</v>
      </c>
      <c r="G498" s="14">
        <f t="shared" si="172"/>
        <v>0</v>
      </c>
      <c r="H498" s="14">
        <f t="shared" si="172"/>
        <v>8280</v>
      </c>
      <c r="I498" s="14">
        <f t="shared" si="172"/>
        <v>0</v>
      </c>
      <c r="J498" s="14">
        <f t="shared" si="172"/>
        <v>0</v>
      </c>
      <c r="K498" s="14">
        <f t="shared" si="172"/>
        <v>139324.36000000002</v>
      </c>
      <c r="L498" s="14">
        <f t="shared" si="172"/>
        <v>0</v>
      </c>
      <c r="M498" s="14">
        <f t="shared" si="172"/>
        <v>0</v>
      </c>
      <c r="N498" s="14">
        <f t="shared" si="172"/>
        <v>0</v>
      </c>
      <c r="O498" s="14">
        <f t="shared" si="172"/>
        <v>2422.99</v>
      </c>
      <c r="P498" s="14">
        <f t="shared" si="172"/>
        <v>43132.85</v>
      </c>
      <c r="Q498" s="55">
        <f t="shared" si="168"/>
        <v>349355.70999999996</v>
      </c>
    </row>
    <row r="499" spans="1:17" ht="12.75" thickBot="1">
      <c r="A499" s="11"/>
      <c r="B499" s="12"/>
      <c r="C499" s="13"/>
      <c r="D499" s="27"/>
      <c r="E499" s="22" t="s">
        <v>37</v>
      </c>
      <c r="F499" s="22">
        <f aca="true" t="shared" si="173" ref="F499:Q499">F486+F490+F494+F498</f>
        <v>472195.23000000004</v>
      </c>
      <c r="G499" s="22">
        <f t="shared" si="173"/>
        <v>0</v>
      </c>
      <c r="H499" s="22">
        <f t="shared" si="173"/>
        <v>36360</v>
      </c>
      <c r="I499" s="22">
        <f t="shared" si="173"/>
        <v>0</v>
      </c>
      <c r="J499" s="22">
        <f t="shared" si="173"/>
        <v>0</v>
      </c>
      <c r="K499" s="22">
        <f t="shared" si="173"/>
        <v>779825.2799999999</v>
      </c>
      <c r="L499" s="22">
        <f t="shared" si="173"/>
        <v>0</v>
      </c>
      <c r="M499" s="22">
        <f t="shared" si="173"/>
        <v>0</v>
      </c>
      <c r="N499" s="22">
        <f t="shared" si="173"/>
        <v>0</v>
      </c>
      <c r="O499" s="22">
        <f t="shared" si="173"/>
        <v>10455.740000000002</v>
      </c>
      <c r="P499" s="35">
        <f t="shared" si="173"/>
        <v>132252.41</v>
      </c>
      <c r="Q499" s="23">
        <f t="shared" si="173"/>
        <v>1431088.66</v>
      </c>
    </row>
    <row r="500" spans="1:17" ht="12">
      <c r="A500" s="11">
        <v>30</v>
      </c>
      <c r="B500" s="12">
        <v>53</v>
      </c>
      <c r="C500" s="13" t="s">
        <v>94</v>
      </c>
      <c r="D500" s="27" t="s">
        <v>95</v>
      </c>
      <c r="E500" s="10" t="s">
        <v>21</v>
      </c>
      <c r="F500" s="10">
        <v>4266.65</v>
      </c>
      <c r="G500" s="10"/>
      <c r="H500" s="10">
        <v>120</v>
      </c>
      <c r="I500" s="10"/>
      <c r="J500" s="10"/>
      <c r="K500" s="10">
        <v>229.5</v>
      </c>
      <c r="L500" s="10"/>
      <c r="M500" s="10"/>
      <c r="N500" s="10"/>
      <c r="O500" s="10"/>
      <c r="P500" s="10"/>
      <c r="Q500" s="29">
        <f>SUM(F500:O500)</f>
        <v>4616.15</v>
      </c>
    </row>
    <row r="501" spans="1:17" ht="12">
      <c r="A501" s="11"/>
      <c r="B501" s="12"/>
      <c r="C501" s="13"/>
      <c r="D501" s="27"/>
      <c r="E501" s="10" t="s">
        <v>22</v>
      </c>
      <c r="F501" s="10">
        <v>9192.55</v>
      </c>
      <c r="G501" s="10"/>
      <c r="H501" s="10">
        <v>600</v>
      </c>
      <c r="I501" s="10"/>
      <c r="J501" s="10"/>
      <c r="K501" s="10">
        <v>51.71</v>
      </c>
      <c r="L501" s="10"/>
      <c r="M501" s="10"/>
      <c r="N501" s="10"/>
      <c r="O501" s="10"/>
      <c r="P501" s="10"/>
      <c r="Q501" s="29">
        <f>SUM(F501:O501)</f>
        <v>9844.259999999998</v>
      </c>
    </row>
    <row r="502" spans="1:17" ht="12">
      <c r="A502" s="11"/>
      <c r="B502" s="12"/>
      <c r="C502" s="13"/>
      <c r="D502" s="27"/>
      <c r="E502" s="10" t="s">
        <v>23</v>
      </c>
      <c r="F502" s="10">
        <v>7011.54</v>
      </c>
      <c r="G502" s="10"/>
      <c r="H502" s="10">
        <v>480</v>
      </c>
      <c r="I502" s="10"/>
      <c r="J502" s="10"/>
      <c r="K502" s="10">
        <v>1005.7</v>
      </c>
      <c r="L502" s="10"/>
      <c r="M502" s="10"/>
      <c r="N502" s="10"/>
      <c r="O502" s="10"/>
      <c r="P502" s="10"/>
      <c r="Q502" s="29">
        <f>SUM(F502:O502)</f>
        <v>8497.24</v>
      </c>
    </row>
    <row r="503" spans="1:17" ht="12">
      <c r="A503" s="11"/>
      <c r="B503" s="12"/>
      <c r="C503" s="13"/>
      <c r="D503" s="27"/>
      <c r="E503" s="14" t="s">
        <v>24</v>
      </c>
      <c r="F503" s="14">
        <f aca="true" t="shared" si="174" ref="F503:P503">SUM(F500:F502)</f>
        <v>20470.739999999998</v>
      </c>
      <c r="G503" s="14">
        <f t="shared" si="174"/>
        <v>0</v>
      </c>
      <c r="H503" s="14">
        <f t="shared" si="174"/>
        <v>1200</v>
      </c>
      <c r="I503" s="14">
        <f t="shared" si="174"/>
        <v>0</v>
      </c>
      <c r="J503" s="14">
        <f t="shared" si="174"/>
        <v>0</v>
      </c>
      <c r="K503" s="14">
        <f t="shared" si="174"/>
        <v>1286.91</v>
      </c>
      <c r="L503" s="14">
        <f t="shared" si="174"/>
        <v>0</v>
      </c>
      <c r="M503" s="14">
        <f t="shared" si="174"/>
        <v>0</v>
      </c>
      <c r="N503" s="14">
        <f t="shared" si="174"/>
        <v>0</v>
      </c>
      <c r="O503" s="14">
        <f t="shared" si="174"/>
        <v>0</v>
      </c>
      <c r="P503" s="14">
        <f t="shared" si="174"/>
        <v>0</v>
      </c>
      <c r="Q503" s="55">
        <f>SUM(F503:O503)</f>
        <v>22957.649999999998</v>
      </c>
    </row>
    <row r="504" spans="1:17" ht="12">
      <c r="A504" s="11"/>
      <c r="B504" s="12"/>
      <c r="C504" s="13"/>
      <c r="D504" s="27"/>
      <c r="E504" s="10" t="s">
        <v>25</v>
      </c>
      <c r="F504" s="10">
        <v>5593.59</v>
      </c>
      <c r="G504" s="10"/>
      <c r="H504" s="10">
        <v>240</v>
      </c>
      <c r="I504" s="10"/>
      <c r="J504" s="10"/>
      <c r="K504" s="10">
        <v>259.42</v>
      </c>
      <c r="L504" s="10"/>
      <c r="M504" s="10"/>
      <c r="N504" s="10"/>
      <c r="O504" s="10"/>
      <c r="P504" s="10"/>
      <c r="Q504" s="29">
        <f aca="true" t="shared" si="175" ref="Q504:Q515">SUM(F504:P504)</f>
        <v>6093.01</v>
      </c>
    </row>
    <row r="505" spans="1:17" ht="12">
      <c r="A505" s="11"/>
      <c r="B505" s="12"/>
      <c r="C505" s="13"/>
      <c r="D505" s="27"/>
      <c r="E505" s="10" t="s">
        <v>26</v>
      </c>
      <c r="F505" s="10">
        <v>8191.84</v>
      </c>
      <c r="G505" s="10"/>
      <c r="H505" s="10">
        <v>480</v>
      </c>
      <c r="I505" s="10"/>
      <c r="J505" s="10"/>
      <c r="K505" s="10">
        <v>229.5</v>
      </c>
      <c r="L505" s="10"/>
      <c r="M505" s="10"/>
      <c r="N505" s="10"/>
      <c r="O505" s="10"/>
      <c r="P505" s="10"/>
      <c r="Q505" s="29">
        <f t="shared" si="175"/>
        <v>8901.34</v>
      </c>
    </row>
    <row r="506" spans="1:17" ht="12">
      <c r="A506" s="11"/>
      <c r="B506" s="12"/>
      <c r="C506" s="13"/>
      <c r="D506" s="27"/>
      <c r="E506" s="10" t="s">
        <v>27</v>
      </c>
      <c r="F506" s="10">
        <v>7257.79</v>
      </c>
      <c r="G506" s="10"/>
      <c r="H506" s="10">
        <v>600</v>
      </c>
      <c r="I506" s="10"/>
      <c r="J506" s="10"/>
      <c r="K506" s="10">
        <v>126.07</v>
      </c>
      <c r="L506" s="10"/>
      <c r="M506" s="10"/>
      <c r="N506" s="10"/>
      <c r="O506" s="10"/>
      <c r="P506" s="10"/>
      <c r="Q506" s="29">
        <f t="shared" si="175"/>
        <v>7983.86</v>
      </c>
    </row>
    <row r="507" spans="1:17" ht="12">
      <c r="A507" s="11"/>
      <c r="B507" s="12"/>
      <c r="C507" s="13"/>
      <c r="D507" s="27"/>
      <c r="E507" s="14" t="s">
        <v>28</v>
      </c>
      <c r="F507" s="14">
        <f aca="true" t="shared" si="176" ref="F507:P507">SUM(F504:F506)</f>
        <v>21043.22</v>
      </c>
      <c r="G507" s="14">
        <f t="shared" si="176"/>
        <v>0</v>
      </c>
      <c r="H507" s="14">
        <f t="shared" si="176"/>
        <v>1320</v>
      </c>
      <c r="I507" s="14">
        <f t="shared" si="176"/>
        <v>0</v>
      </c>
      <c r="J507" s="14">
        <f t="shared" si="176"/>
        <v>0</v>
      </c>
      <c r="K507" s="14">
        <f t="shared" si="176"/>
        <v>614.99</v>
      </c>
      <c r="L507" s="14">
        <f t="shared" si="176"/>
        <v>0</v>
      </c>
      <c r="M507" s="14">
        <f t="shared" si="176"/>
        <v>0</v>
      </c>
      <c r="N507" s="14">
        <f t="shared" si="176"/>
        <v>0</v>
      </c>
      <c r="O507" s="14">
        <f t="shared" si="176"/>
        <v>0</v>
      </c>
      <c r="P507" s="14">
        <f t="shared" si="176"/>
        <v>0</v>
      </c>
      <c r="Q507" s="55">
        <f t="shared" si="175"/>
        <v>22978.210000000003</v>
      </c>
    </row>
    <row r="508" spans="1:17" ht="12">
      <c r="A508" s="11"/>
      <c r="B508" s="12"/>
      <c r="C508" s="13"/>
      <c r="D508" s="27"/>
      <c r="E508" s="10" t="s">
        <v>29</v>
      </c>
      <c r="F508" s="10">
        <v>4756.51</v>
      </c>
      <c r="G508" s="10"/>
      <c r="H508" s="16">
        <v>120</v>
      </c>
      <c r="I508" s="10"/>
      <c r="J508" s="10"/>
      <c r="K508" s="16">
        <v>362.85</v>
      </c>
      <c r="L508" s="10"/>
      <c r="M508" s="10"/>
      <c r="N508" s="10"/>
      <c r="O508" s="10"/>
      <c r="P508" s="10"/>
      <c r="Q508" s="29">
        <f t="shared" si="175"/>
        <v>5239.360000000001</v>
      </c>
    </row>
    <row r="509" spans="1:17" ht="12.75">
      <c r="A509" s="11"/>
      <c r="B509" s="12"/>
      <c r="C509" s="13"/>
      <c r="D509" s="27"/>
      <c r="E509" s="10" t="s">
        <v>30</v>
      </c>
      <c r="F509" s="10">
        <v>7268.64</v>
      </c>
      <c r="G509" s="10"/>
      <c r="H509" s="17">
        <v>360</v>
      </c>
      <c r="I509" s="10"/>
      <c r="J509" s="10"/>
      <c r="K509" s="17">
        <v>126.07</v>
      </c>
      <c r="L509" s="10"/>
      <c r="M509" s="10"/>
      <c r="N509" s="10"/>
      <c r="O509" s="10"/>
      <c r="P509" s="10"/>
      <c r="Q509" s="29">
        <f t="shared" si="175"/>
        <v>7754.71</v>
      </c>
    </row>
    <row r="510" spans="1:17" ht="12.75">
      <c r="A510" s="11"/>
      <c r="B510" s="12"/>
      <c r="C510" s="13"/>
      <c r="D510" s="27"/>
      <c r="E510" s="10" t="s">
        <v>31</v>
      </c>
      <c r="F510" s="10">
        <v>6703.320000000001</v>
      </c>
      <c r="G510" s="10"/>
      <c r="H510" s="17">
        <v>480</v>
      </c>
      <c r="I510" s="10"/>
      <c r="J510" s="10"/>
      <c r="K510" s="17">
        <v>229.5</v>
      </c>
      <c r="L510" s="10"/>
      <c r="M510" s="10"/>
      <c r="N510" s="10"/>
      <c r="O510" s="10"/>
      <c r="P510" s="10"/>
      <c r="Q510" s="29">
        <f t="shared" si="175"/>
        <v>7412.820000000001</v>
      </c>
    </row>
    <row r="511" spans="1:17" ht="12">
      <c r="A511" s="11"/>
      <c r="B511" s="12"/>
      <c r="C511" s="13"/>
      <c r="D511" s="27"/>
      <c r="E511" s="14" t="s">
        <v>32</v>
      </c>
      <c r="F511" s="14">
        <f aca="true" t="shared" si="177" ref="F511:P511">SUM(F508:F510)</f>
        <v>18728.47</v>
      </c>
      <c r="G511" s="14">
        <f t="shared" si="177"/>
        <v>0</v>
      </c>
      <c r="H511" s="14">
        <f t="shared" si="177"/>
        <v>960</v>
      </c>
      <c r="I511" s="14">
        <f t="shared" si="177"/>
        <v>0</v>
      </c>
      <c r="J511" s="14">
        <f t="shared" si="177"/>
        <v>0</v>
      </c>
      <c r="K511" s="14">
        <f t="shared" si="177"/>
        <v>718.4200000000001</v>
      </c>
      <c r="L511" s="14">
        <f t="shared" si="177"/>
        <v>0</v>
      </c>
      <c r="M511" s="14">
        <f t="shared" si="177"/>
        <v>0</v>
      </c>
      <c r="N511" s="14">
        <f t="shared" si="177"/>
        <v>0</v>
      </c>
      <c r="O511" s="14">
        <f t="shared" si="177"/>
        <v>0</v>
      </c>
      <c r="P511" s="14">
        <f t="shared" si="177"/>
        <v>0</v>
      </c>
      <c r="Q511" s="55">
        <f t="shared" si="175"/>
        <v>20406.89</v>
      </c>
    </row>
    <row r="512" spans="1:17" ht="12.75">
      <c r="A512" s="11"/>
      <c r="B512" s="12"/>
      <c r="C512" s="13"/>
      <c r="D512" s="27"/>
      <c r="E512" s="10" t="s">
        <v>33</v>
      </c>
      <c r="F512" s="10">
        <v>5715.41</v>
      </c>
      <c r="G512" s="10"/>
      <c r="H512" s="17">
        <v>120</v>
      </c>
      <c r="I512" s="10"/>
      <c r="J512" s="17">
        <v>360</v>
      </c>
      <c r="K512" s="17">
        <v>126.07</v>
      </c>
      <c r="L512" s="10"/>
      <c r="M512" s="10"/>
      <c r="N512" s="10"/>
      <c r="O512" s="10"/>
      <c r="P512" s="10"/>
      <c r="Q512" s="29">
        <f t="shared" si="175"/>
        <v>6321.48</v>
      </c>
    </row>
    <row r="513" spans="1:17" ht="12.75">
      <c r="A513" s="11"/>
      <c r="B513" s="12"/>
      <c r="C513" s="13"/>
      <c r="D513" s="27"/>
      <c r="E513" s="10" t="s">
        <v>34</v>
      </c>
      <c r="F513" s="10">
        <v>7401.93</v>
      </c>
      <c r="G513" s="10"/>
      <c r="H513" s="17">
        <v>360</v>
      </c>
      <c r="I513" s="10"/>
      <c r="J513" s="10"/>
      <c r="K513" s="17">
        <v>229.5</v>
      </c>
      <c r="L513" s="10"/>
      <c r="M513" s="10"/>
      <c r="N513" s="10"/>
      <c r="O513" s="10"/>
      <c r="P513" s="10"/>
      <c r="Q513" s="29">
        <f t="shared" si="175"/>
        <v>7991.43</v>
      </c>
    </row>
    <row r="514" spans="1:17" ht="12.75">
      <c r="A514" s="11"/>
      <c r="B514" s="12"/>
      <c r="C514" s="13"/>
      <c r="D514" s="27"/>
      <c r="E514" s="10" t="s">
        <v>35</v>
      </c>
      <c r="F514" s="10">
        <v>7953.28</v>
      </c>
      <c r="G514" s="10"/>
      <c r="H514" s="18">
        <v>600</v>
      </c>
      <c r="I514" s="10"/>
      <c r="J514" s="10"/>
      <c r="K514" s="10"/>
      <c r="L514" s="10"/>
      <c r="M514" s="10"/>
      <c r="N514" s="10"/>
      <c r="O514" s="10"/>
      <c r="P514" s="10"/>
      <c r="Q514" s="29">
        <f t="shared" si="175"/>
        <v>8553.279999999999</v>
      </c>
    </row>
    <row r="515" spans="1:17" ht="12">
      <c r="A515" s="11"/>
      <c r="B515" s="12"/>
      <c r="C515" s="13"/>
      <c r="D515" s="27"/>
      <c r="E515" s="14" t="s">
        <v>36</v>
      </c>
      <c r="F515" s="14">
        <f aca="true" t="shared" si="178" ref="F515:P515">SUM(F512:F514)</f>
        <v>21070.62</v>
      </c>
      <c r="G515" s="14">
        <f t="shared" si="178"/>
        <v>0</v>
      </c>
      <c r="H515" s="14">
        <f t="shared" si="178"/>
        <v>1080</v>
      </c>
      <c r="I515" s="14">
        <f t="shared" si="178"/>
        <v>0</v>
      </c>
      <c r="J515" s="14">
        <f t="shared" si="178"/>
        <v>360</v>
      </c>
      <c r="K515" s="14">
        <f t="shared" si="178"/>
        <v>355.57</v>
      </c>
      <c r="L515" s="14">
        <f t="shared" si="178"/>
        <v>0</v>
      </c>
      <c r="M515" s="14">
        <f t="shared" si="178"/>
        <v>0</v>
      </c>
      <c r="N515" s="14">
        <f t="shared" si="178"/>
        <v>0</v>
      </c>
      <c r="O515" s="14">
        <f t="shared" si="178"/>
        <v>0</v>
      </c>
      <c r="P515" s="14">
        <f t="shared" si="178"/>
        <v>0</v>
      </c>
      <c r="Q515" s="55">
        <f t="shared" si="175"/>
        <v>22866.19</v>
      </c>
    </row>
    <row r="516" spans="1:17" ht="12.75" thickBot="1">
      <c r="A516" s="11"/>
      <c r="B516" s="12"/>
      <c r="C516" s="13"/>
      <c r="D516" s="27"/>
      <c r="E516" s="22" t="s">
        <v>37</v>
      </c>
      <c r="F516" s="22">
        <f aca="true" t="shared" si="179" ref="F516:Q516">F503+F507+F511+F515</f>
        <v>81313.05</v>
      </c>
      <c r="G516" s="22">
        <f t="shared" si="179"/>
        <v>0</v>
      </c>
      <c r="H516" s="22">
        <f t="shared" si="179"/>
        <v>4560</v>
      </c>
      <c r="I516" s="22">
        <f t="shared" si="179"/>
        <v>0</v>
      </c>
      <c r="J516" s="22">
        <f t="shared" si="179"/>
        <v>360</v>
      </c>
      <c r="K516" s="22">
        <f t="shared" si="179"/>
        <v>2975.8900000000003</v>
      </c>
      <c r="L516" s="22">
        <f t="shared" si="179"/>
        <v>0</v>
      </c>
      <c r="M516" s="22">
        <f t="shared" si="179"/>
        <v>0</v>
      </c>
      <c r="N516" s="22">
        <f t="shared" si="179"/>
        <v>0</v>
      </c>
      <c r="O516" s="22">
        <f t="shared" si="179"/>
        <v>0</v>
      </c>
      <c r="P516" s="22">
        <f t="shared" si="179"/>
        <v>0</v>
      </c>
      <c r="Q516" s="23">
        <f t="shared" si="179"/>
        <v>89208.94</v>
      </c>
    </row>
    <row r="517" spans="1:17" ht="12">
      <c r="A517" s="11">
        <v>31</v>
      </c>
      <c r="B517" s="12">
        <v>40</v>
      </c>
      <c r="C517" s="13" t="s">
        <v>96</v>
      </c>
      <c r="D517" s="27" t="s">
        <v>97</v>
      </c>
      <c r="E517" s="10" t="s">
        <v>21</v>
      </c>
      <c r="F517" s="10">
        <v>3053.38</v>
      </c>
      <c r="G517" s="10"/>
      <c r="H517" s="10"/>
      <c r="I517" s="10"/>
      <c r="J517" s="10"/>
      <c r="K517" s="10">
        <v>18038.02</v>
      </c>
      <c r="L517" s="10"/>
      <c r="M517" s="10"/>
      <c r="N517" s="10"/>
      <c r="O517" s="10"/>
      <c r="P517" s="10"/>
      <c r="Q517" s="29">
        <f aca="true" t="shared" si="180" ref="Q517:Q532">SUM(F517:P517)</f>
        <v>21091.4</v>
      </c>
    </row>
    <row r="518" spans="1:17" ht="12">
      <c r="A518" s="11"/>
      <c r="B518" s="12"/>
      <c r="C518" s="13"/>
      <c r="D518" s="27"/>
      <c r="E518" s="10" t="s">
        <v>22</v>
      </c>
      <c r="F518" s="10">
        <v>2627.66</v>
      </c>
      <c r="G518" s="10"/>
      <c r="H518" s="10"/>
      <c r="I518" s="10"/>
      <c r="J518" s="10"/>
      <c r="K518" s="10">
        <v>17330.11</v>
      </c>
      <c r="L518" s="10"/>
      <c r="M518" s="10"/>
      <c r="N518" s="10"/>
      <c r="O518" s="10"/>
      <c r="P518" s="10"/>
      <c r="Q518" s="29">
        <f t="shared" si="180"/>
        <v>19957.77</v>
      </c>
    </row>
    <row r="519" spans="1:17" ht="12">
      <c r="A519" s="11"/>
      <c r="B519" s="12"/>
      <c r="C519" s="13"/>
      <c r="D519" s="27"/>
      <c r="E519" s="10" t="s">
        <v>23</v>
      </c>
      <c r="F519" s="10">
        <v>2821.1</v>
      </c>
      <c r="G519" s="10"/>
      <c r="H519" s="10"/>
      <c r="I519" s="10"/>
      <c r="J519" s="10"/>
      <c r="K519" s="10">
        <v>20156.85</v>
      </c>
      <c r="L519" s="10"/>
      <c r="M519" s="10"/>
      <c r="N519" s="10"/>
      <c r="O519" s="10"/>
      <c r="P519" s="10"/>
      <c r="Q519" s="29">
        <f t="shared" si="180"/>
        <v>22977.949999999997</v>
      </c>
    </row>
    <row r="520" spans="1:17" ht="12">
      <c r="A520" s="11"/>
      <c r="B520" s="12"/>
      <c r="C520" s="13"/>
      <c r="D520" s="27"/>
      <c r="E520" s="14" t="s">
        <v>24</v>
      </c>
      <c r="F520" s="14">
        <f aca="true" t="shared" si="181" ref="F520:P520">SUM(F517:F519)</f>
        <v>8502.14</v>
      </c>
      <c r="G520" s="14">
        <f t="shared" si="181"/>
        <v>0</v>
      </c>
      <c r="H520" s="14">
        <f t="shared" si="181"/>
        <v>0</v>
      </c>
      <c r="I520" s="14">
        <f t="shared" si="181"/>
        <v>0</v>
      </c>
      <c r="J520" s="14">
        <f t="shared" si="181"/>
        <v>0</v>
      </c>
      <c r="K520" s="14">
        <f t="shared" si="181"/>
        <v>55524.98</v>
      </c>
      <c r="L520" s="14">
        <f t="shared" si="181"/>
        <v>0</v>
      </c>
      <c r="M520" s="14">
        <f t="shared" si="181"/>
        <v>0</v>
      </c>
      <c r="N520" s="14">
        <f t="shared" si="181"/>
        <v>0</v>
      </c>
      <c r="O520" s="14">
        <f t="shared" si="181"/>
        <v>0</v>
      </c>
      <c r="P520" s="14">
        <f t="shared" si="181"/>
        <v>0</v>
      </c>
      <c r="Q520" s="55">
        <f t="shared" si="180"/>
        <v>64027.12</v>
      </c>
    </row>
    <row r="521" spans="1:17" ht="12">
      <c r="A521" s="11"/>
      <c r="B521" s="12"/>
      <c r="C521" s="13"/>
      <c r="D521" s="27"/>
      <c r="E521" s="10" t="s">
        <v>25</v>
      </c>
      <c r="F521" s="10">
        <v>3109.71</v>
      </c>
      <c r="G521" s="10"/>
      <c r="H521" s="10"/>
      <c r="I521" s="10"/>
      <c r="J521" s="10"/>
      <c r="K521" s="10">
        <v>18334.98</v>
      </c>
      <c r="L521" s="10"/>
      <c r="M521" s="10"/>
      <c r="N521" s="10"/>
      <c r="O521" s="10"/>
      <c r="P521" s="10"/>
      <c r="Q521" s="29">
        <f t="shared" si="180"/>
        <v>21444.69</v>
      </c>
    </row>
    <row r="522" spans="1:17" ht="12">
      <c r="A522" s="11"/>
      <c r="B522" s="12"/>
      <c r="C522" s="13"/>
      <c r="D522" s="27"/>
      <c r="E522" s="10" t="s">
        <v>26</v>
      </c>
      <c r="F522" s="10">
        <v>1684.22</v>
      </c>
      <c r="G522" s="10"/>
      <c r="H522" s="10"/>
      <c r="I522" s="10"/>
      <c r="J522" s="10"/>
      <c r="K522" s="10">
        <v>17519.22</v>
      </c>
      <c r="L522" s="10"/>
      <c r="M522" s="10"/>
      <c r="N522" s="10"/>
      <c r="O522" s="10"/>
      <c r="P522" s="10"/>
      <c r="Q522" s="29">
        <f t="shared" si="180"/>
        <v>19203.440000000002</v>
      </c>
    </row>
    <row r="523" spans="1:17" ht="12">
      <c r="A523" s="11"/>
      <c r="B523" s="12"/>
      <c r="C523" s="13"/>
      <c r="D523" s="27"/>
      <c r="E523" s="10" t="s">
        <v>27</v>
      </c>
      <c r="F523" s="10">
        <v>2304.96</v>
      </c>
      <c r="G523" s="10"/>
      <c r="H523" s="10"/>
      <c r="I523" s="10"/>
      <c r="J523" s="10"/>
      <c r="K523" s="10">
        <v>15024.33</v>
      </c>
      <c r="L523" s="10"/>
      <c r="M523" s="10">
        <v>542.7</v>
      </c>
      <c r="N523" s="10"/>
      <c r="O523" s="10"/>
      <c r="P523" s="10"/>
      <c r="Q523" s="29">
        <f t="shared" si="180"/>
        <v>17871.99</v>
      </c>
    </row>
    <row r="524" spans="1:17" ht="12">
      <c r="A524" s="11"/>
      <c r="B524" s="12"/>
      <c r="C524" s="13"/>
      <c r="D524" s="27"/>
      <c r="E524" s="14" t="s">
        <v>28</v>
      </c>
      <c r="F524" s="14">
        <f aca="true" t="shared" si="182" ref="F524:P524">SUM(F521:F523)</f>
        <v>7098.89</v>
      </c>
      <c r="G524" s="14">
        <f t="shared" si="182"/>
        <v>0</v>
      </c>
      <c r="H524" s="14">
        <f t="shared" si="182"/>
        <v>0</v>
      </c>
      <c r="I524" s="14">
        <f t="shared" si="182"/>
        <v>0</v>
      </c>
      <c r="J524" s="14">
        <f t="shared" si="182"/>
        <v>0</v>
      </c>
      <c r="K524" s="14">
        <f t="shared" si="182"/>
        <v>50878.53</v>
      </c>
      <c r="L524" s="14">
        <f t="shared" si="182"/>
        <v>0</v>
      </c>
      <c r="M524" s="14">
        <f t="shared" si="182"/>
        <v>542.7</v>
      </c>
      <c r="N524" s="14">
        <f t="shared" si="182"/>
        <v>0</v>
      </c>
      <c r="O524" s="14">
        <f t="shared" si="182"/>
        <v>0</v>
      </c>
      <c r="P524" s="14">
        <f t="shared" si="182"/>
        <v>0</v>
      </c>
      <c r="Q524" s="55">
        <f t="shared" si="180"/>
        <v>58520.119999999995</v>
      </c>
    </row>
    <row r="525" spans="1:17" ht="12">
      <c r="A525" s="11"/>
      <c r="B525" s="12"/>
      <c r="C525" s="13"/>
      <c r="D525" s="27"/>
      <c r="E525" s="10" t="s">
        <v>29</v>
      </c>
      <c r="F525" s="16">
        <v>2800.16</v>
      </c>
      <c r="G525" s="10"/>
      <c r="H525" s="10"/>
      <c r="I525" s="10"/>
      <c r="J525" s="10"/>
      <c r="K525" s="16">
        <v>17921.65</v>
      </c>
      <c r="L525" s="10"/>
      <c r="M525" s="10"/>
      <c r="N525" s="10"/>
      <c r="O525" s="10"/>
      <c r="P525" s="10"/>
      <c r="Q525" s="29">
        <f t="shared" si="180"/>
        <v>20721.81</v>
      </c>
    </row>
    <row r="526" spans="1:17" ht="12.75">
      <c r="A526" s="11"/>
      <c r="B526" s="12"/>
      <c r="C526" s="13"/>
      <c r="D526" s="27"/>
      <c r="E526" s="10" t="s">
        <v>30</v>
      </c>
      <c r="F526" s="17">
        <v>2614</v>
      </c>
      <c r="G526" s="10"/>
      <c r="H526" s="10"/>
      <c r="I526" s="10"/>
      <c r="J526" s="10"/>
      <c r="K526" s="17">
        <v>17566.56</v>
      </c>
      <c r="L526" s="10"/>
      <c r="M526" s="10"/>
      <c r="N526" s="10"/>
      <c r="O526" s="10"/>
      <c r="P526" s="10"/>
      <c r="Q526" s="29">
        <f t="shared" si="180"/>
        <v>20180.56</v>
      </c>
    </row>
    <row r="527" spans="1:17" ht="12.75">
      <c r="A527" s="11"/>
      <c r="B527" s="12"/>
      <c r="C527" s="13"/>
      <c r="D527" s="27"/>
      <c r="E527" s="10" t="s">
        <v>31</v>
      </c>
      <c r="F527" s="17">
        <v>2038.06</v>
      </c>
      <c r="G527" s="10"/>
      <c r="H527" s="10"/>
      <c r="I527" s="10"/>
      <c r="J527" s="10"/>
      <c r="K527" s="17">
        <v>17783.45</v>
      </c>
      <c r="L527" s="10"/>
      <c r="M527" s="10"/>
      <c r="N527" s="10"/>
      <c r="O527" s="10"/>
      <c r="P527" s="10"/>
      <c r="Q527" s="29">
        <f t="shared" si="180"/>
        <v>19821.510000000002</v>
      </c>
    </row>
    <row r="528" spans="1:17" ht="12">
      <c r="A528" s="11"/>
      <c r="B528" s="12"/>
      <c r="C528" s="13"/>
      <c r="D528" s="27"/>
      <c r="E528" s="14" t="s">
        <v>32</v>
      </c>
      <c r="F528" s="14">
        <f aca="true" t="shared" si="183" ref="F528:P528">SUM(F525:F527)</f>
        <v>7452.219999999999</v>
      </c>
      <c r="G528" s="14">
        <f t="shared" si="183"/>
        <v>0</v>
      </c>
      <c r="H528" s="14">
        <f t="shared" si="183"/>
        <v>0</v>
      </c>
      <c r="I528" s="14">
        <f t="shared" si="183"/>
        <v>0</v>
      </c>
      <c r="J528" s="14">
        <f t="shared" si="183"/>
        <v>0</v>
      </c>
      <c r="K528" s="14">
        <f t="shared" si="183"/>
        <v>53271.66</v>
      </c>
      <c r="L528" s="14">
        <f t="shared" si="183"/>
        <v>0</v>
      </c>
      <c r="M528" s="14">
        <f t="shared" si="183"/>
        <v>0</v>
      </c>
      <c r="N528" s="14">
        <f t="shared" si="183"/>
        <v>0</v>
      </c>
      <c r="O528" s="14">
        <f t="shared" si="183"/>
        <v>0</v>
      </c>
      <c r="P528" s="14">
        <f t="shared" si="183"/>
        <v>0</v>
      </c>
      <c r="Q528" s="55">
        <f t="shared" si="180"/>
        <v>60723.880000000005</v>
      </c>
    </row>
    <row r="529" spans="1:17" ht="12.75">
      <c r="A529" s="11"/>
      <c r="B529" s="12"/>
      <c r="C529" s="13"/>
      <c r="D529" s="27"/>
      <c r="E529" s="10" t="s">
        <v>33</v>
      </c>
      <c r="F529" s="17">
        <v>2523.03</v>
      </c>
      <c r="G529" s="10"/>
      <c r="H529" s="10"/>
      <c r="I529" s="10"/>
      <c r="J529" s="10"/>
      <c r="K529" s="17">
        <v>17768.89</v>
      </c>
      <c r="L529" s="10"/>
      <c r="M529" s="10"/>
      <c r="N529" s="10"/>
      <c r="O529" s="10"/>
      <c r="P529" s="10"/>
      <c r="Q529" s="29">
        <f t="shared" si="180"/>
        <v>20291.92</v>
      </c>
    </row>
    <row r="530" spans="1:17" ht="12.75">
      <c r="A530" s="11"/>
      <c r="B530" s="12"/>
      <c r="C530" s="13"/>
      <c r="D530" s="27"/>
      <c r="E530" s="10" t="s">
        <v>34</v>
      </c>
      <c r="F530" s="17">
        <v>2965.61</v>
      </c>
      <c r="G530" s="10"/>
      <c r="H530" s="10"/>
      <c r="I530" s="10"/>
      <c r="J530" s="10"/>
      <c r="K530" s="17">
        <v>17389.8</v>
      </c>
      <c r="L530" s="10"/>
      <c r="M530" s="10"/>
      <c r="N530" s="10"/>
      <c r="O530" s="10"/>
      <c r="P530" s="10"/>
      <c r="Q530" s="29">
        <f t="shared" si="180"/>
        <v>20355.41</v>
      </c>
    </row>
    <row r="531" spans="1:17" ht="12.75">
      <c r="A531" s="11"/>
      <c r="B531" s="12"/>
      <c r="C531" s="13"/>
      <c r="D531" s="27"/>
      <c r="E531" s="10" t="s">
        <v>35</v>
      </c>
      <c r="F531" s="18">
        <v>2122.58</v>
      </c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29">
        <f t="shared" si="180"/>
        <v>2122.58</v>
      </c>
    </row>
    <row r="532" spans="1:17" ht="12">
      <c r="A532" s="11"/>
      <c r="B532" s="12"/>
      <c r="C532" s="13"/>
      <c r="D532" s="27"/>
      <c r="E532" s="14" t="s">
        <v>36</v>
      </c>
      <c r="F532" s="14">
        <f aca="true" t="shared" si="184" ref="F532:P532">SUM(F529:F531)</f>
        <v>7611.22</v>
      </c>
      <c r="G532" s="14">
        <f t="shared" si="184"/>
        <v>0</v>
      </c>
      <c r="H532" s="14">
        <f t="shared" si="184"/>
        <v>0</v>
      </c>
      <c r="I532" s="14">
        <f t="shared" si="184"/>
        <v>0</v>
      </c>
      <c r="J532" s="14">
        <f t="shared" si="184"/>
        <v>0</v>
      </c>
      <c r="K532" s="14">
        <f t="shared" si="184"/>
        <v>35158.69</v>
      </c>
      <c r="L532" s="14">
        <f t="shared" si="184"/>
        <v>0</v>
      </c>
      <c r="M532" s="14">
        <f t="shared" si="184"/>
        <v>0</v>
      </c>
      <c r="N532" s="14">
        <f t="shared" si="184"/>
        <v>0</v>
      </c>
      <c r="O532" s="14">
        <f t="shared" si="184"/>
        <v>0</v>
      </c>
      <c r="P532" s="14">
        <f t="shared" si="184"/>
        <v>0</v>
      </c>
      <c r="Q532" s="55">
        <f t="shared" si="180"/>
        <v>42769.91</v>
      </c>
    </row>
    <row r="533" spans="1:17" ht="12.75" thickBot="1">
      <c r="A533" s="11"/>
      <c r="B533" s="12"/>
      <c r="C533" s="13"/>
      <c r="D533" s="27"/>
      <c r="E533" s="22" t="s">
        <v>37</v>
      </c>
      <c r="F533" s="22">
        <f aca="true" t="shared" si="185" ref="F533:Q533">F520+F524+F528+F532</f>
        <v>30664.47</v>
      </c>
      <c r="G533" s="22">
        <f t="shared" si="185"/>
        <v>0</v>
      </c>
      <c r="H533" s="22">
        <f t="shared" si="185"/>
        <v>0</v>
      </c>
      <c r="I533" s="22">
        <f t="shared" si="185"/>
        <v>0</v>
      </c>
      <c r="J533" s="22">
        <f t="shared" si="185"/>
        <v>0</v>
      </c>
      <c r="K533" s="22">
        <f t="shared" si="185"/>
        <v>194833.86000000002</v>
      </c>
      <c r="L533" s="22">
        <f t="shared" si="185"/>
        <v>0</v>
      </c>
      <c r="M533" s="22">
        <f t="shared" si="185"/>
        <v>542.7</v>
      </c>
      <c r="N533" s="22">
        <f t="shared" si="185"/>
        <v>0</v>
      </c>
      <c r="O533" s="22">
        <f t="shared" si="185"/>
        <v>0</v>
      </c>
      <c r="P533" s="35">
        <f t="shared" si="185"/>
        <v>0</v>
      </c>
      <c r="Q533" s="23">
        <f t="shared" si="185"/>
        <v>226041.03</v>
      </c>
    </row>
    <row r="534" spans="1:17" ht="12">
      <c r="A534" s="11">
        <v>32</v>
      </c>
      <c r="B534" s="12">
        <v>54</v>
      </c>
      <c r="C534" s="13" t="s">
        <v>98</v>
      </c>
      <c r="D534" s="27" t="s">
        <v>99</v>
      </c>
      <c r="E534" s="10" t="s">
        <v>21</v>
      </c>
      <c r="F534" s="10">
        <v>7053.77</v>
      </c>
      <c r="G534" s="10"/>
      <c r="H534" s="10">
        <v>600</v>
      </c>
      <c r="I534" s="10"/>
      <c r="J534" s="10">
        <v>420</v>
      </c>
      <c r="K534" s="10">
        <v>154.91</v>
      </c>
      <c r="L534" s="10"/>
      <c r="M534" s="10"/>
      <c r="N534" s="10"/>
      <c r="O534" s="10"/>
      <c r="P534" s="10"/>
      <c r="Q534" s="29">
        <f aca="true" t="shared" si="186" ref="Q534:Q549">SUM(F534:P534)</f>
        <v>8228.68</v>
      </c>
    </row>
    <row r="535" spans="1:17" ht="12">
      <c r="A535" s="11"/>
      <c r="B535" s="12"/>
      <c r="C535" s="13"/>
      <c r="D535" s="27"/>
      <c r="E535" s="10" t="s">
        <v>22</v>
      </c>
      <c r="F535" s="10">
        <v>16894.02</v>
      </c>
      <c r="G535" s="10"/>
      <c r="H535" s="10">
        <v>1320</v>
      </c>
      <c r="I535" s="10"/>
      <c r="J535" s="10"/>
      <c r="K535" s="10">
        <v>335.75</v>
      </c>
      <c r="L535" s="10"/>
      <c r="M535" s="10"/>
      <c r="N535" s="10"/>
      <c r="O535" s="10">
        <v>2355.55</v>
      </c>
      <c r="P535" s="10"/>
      <c r="Q535" s="29">
        <f t="shared" si="186"/>
        <v>20905.32</v>
      </c>
    </row>
    <row r="536" spans="1:17" ht="12">
      <c r="A536" s="11"/>
      <c r="B536" s="12"/>
      <c r="C536" s="13"/>
      <c r="D536" s="27"/>
      <c r="E536" s="10" t="s">
        <v>23</v>
      </c>
      <c r="F536" s="10">
        <v>5283.08</v>
      </c>
      <c r="G536" s="10"/>
      <c r="H536" s="10">
        <v>480</v>
      </c>
      <c r="I536" s="10"/>
      <c r="J536" s="10"/>
      <c r="K536" s="10">
        <v>609.14</v>
      </c>
      <c r="L536" s="10"/>
      <c r="M536" s="10"/>
      <c r="N536" s="10"/>
      <c r="O536" s="10"/>
      <c r="P536" s="10"/>
      <c r="Q536" s="29">
        <f t="shared" si="186"/>
        <v>6372.22</v>
      </c>
    </row>
    <row r="537" spans="1:17" ht="12">
      <c r="A537" s="11"/>
      <c r="B537" s="12"/>
      <c r="C537" s="13"/>
      <c r="D537" s="27"/>
      <c r="E537" s="14" t="s">
        <v>24</v>
      </c>
      <c r="F537" s="14">
        <f aca="true" t="shared" si="187" ref="F537:P537">SUM(F534:F536)</f>
        <v>29230.870000000003</v>
      </c>
      <c r="G537" s="14">
        <f t="shared" si="187"/>
        <v>0</v>
      </c>
      <c r="H537" s="14">
        <f t="shared" si="187"/>
        <v>2400</v>
      </c>
      <c r="I537" s="14">
        <f t="shared" si="187"/>
        <v>0</v>
      </c>
      <c r="J537" s="14">
        <f t="shared" si="187"/>
        <v>420</v>
      </c>
      <c r="K537" s="14">
        <f t="shared" si="187"/>
        <v>1099.8</v>
      </c>
      <c r="L537" s="14">
        <f t="shared" si="187"/>
        <v>0</v>
      </c>
      <c r="M537" s="14">
        <f t="shared" si="187"/>
        <v>0</v>
      </c>
      <c r="N537" s="14">
        <f t="shared" si="187"/>
        <v>0</v>
      </c>
      <c r="O537" s="14">
        <f t="shared" si="187"/>
        <v>2355.55</v>
      </c>
      <c r="P537" s="14">
        <f t="shared" si="187"/>
        <v>0</v>
      </c>
      <c r="Q537" s="55">
        <f t="shared" si="186"/>
        <v>35506.22000000001</v>
      </c>
    </row>
    <row r="538" spans="1:17" ht="12">
      <c r="A538" s="11"/>
      <c r="B538" s="12"/>
      <c r="C538" s="13"/>
      <c r="D538" s="27"/>
      <c r="E538" s="10" t="s">
        <v>25</v>
      </c>
      <c r="F538" s="10">
        <v>4872.83</v>
      </c>
      <c r="G538" s="10"/>
      <c r="H538" s="10">
        <v>360</v>
      </c>
      <c r="I538" s="10"/>
      <c r="J538" s="10"/>
      <c r="K538" s="10">
        <v>116.36</v>
      </c>
      <c r="L538" s="10"/>
      <c r="M538" s="10"/>
      <c r="N538" s="10"/>
      <c r="O538" s="10"/>
      <c r="P538" s="10"/>
      <c r="Q538" s="29">
        <f t="shared" si="186"/>
        <v>5349.19</v>
      </c>
    </row>
    <row r="539" spans="1:17" ht="12">
      <c r="A539" s="11"/>
      <c r="B539" s="12"/>
      <c r="C539" s="13"/>
      <c r="D539" s="27"/>
      <c r="E539" s="10" t="s">
        <v>26</v>
      </c>
      <c r="F539" s="10">
        <v>7649.48</v>
      </c>
      <c r="G539" s="10"/>
      <c r="H539" s="10">
        <v>720</v>
      </c>
      <c r="I539" s="10"/>
      <c r="J539" s="10"/>
      <c r="K539" s="16">
        <v>374.29</v>
      </c>
      <c r="L539" s="10"/>
      <c r="M539" s="10"/>
      <c r="N539" s="10"/>
      <c r="O539" s="10">
        <v>2867.85</v>
      </c>
      <c r="P539" s="10"/>
      <c r="Q539" s="29">
        <f t="shared" si="186"/>
        <v>11611.62</v>
      </c>
    </row>
    <row r="540" spans="1:17" ht="12">
      <c r="A540" s="11"/>
      <c r="B540" s="12"/>
      <c r="C540" s="13"/>
      <c r="D540" s="27"/>
      <c r="E540" s="10" t="s">
        <v>27</v>
      </c>
      <c r="F540" s="10">
        <v>4371.35</v>
      </c>
      <c r="G540" s="10"/>
      <c r="H540" s="10">
        <v>480</v>
      </c>
      <c r="I540" s="10"/>
      <c r="J540" s="10"/>
      <c r="K540" s="10">
        <v>219.39</v>
      </c>
      <c r="L540" s="10"/>
      <c r="M540" s="10"/>
      <c r="N540" s="10"/>
      <c r="O540" s="10"/>
      <c r="P540" s="10"/>
      <c r="Q540" s="29">
        <f t="shared" si="186"/>
        <v>5070.740000000001</v>
      </c>
    </row>
    <row r="541" spans="1:17" ht="12">
      <c r="A541" s="11"/>
      <c r="B541" s="12"/>
      <c r="C541" s="13"/>
      <c r="D541" s="27"/>
      <c r="E541" s="14" t="s">
        <v>28</v>
      </c>
      <c r="F541" s="14">
        <f aca="true" t="shared" si="188" ref="F541:P541">SUM(F538:F540)</f>
        <v>16893.66</v>
      </c>
      <c r="G541" s="14">
        <f t="shared" si="188"/>
        <v>0</v>
      </c>
      <c r="H541" s="14">
        <f t="shared" si="188"/>
        <v>1560</v>
      </c>
      <c r="I541" s="14">
        <f t="shared" si="188"/>
        <v>0</v>
      </c>
      <c r="J541" s="14">
        <f t="shared" si="188"/>
        <v>0</v>
      </c>
      <c r="K541" s="14">
        <f t="shared" si="188"/>
        <v>710.04</v>
      </c>
      <c r="L541" s="14">
        <f t="shared" si="188"/>
        <v>0</v>
      </c>
      <c r="M541" s="14">
        <f t="shared" si="188"/>
        <v>0</v>
      </c>
      <c r="N541" s="14">
        <f t="shared" si="188"/>
        <v>0</v>
      </c>
      <c r="O541" s="14">
        <f t="shared" si="188"/>
        <v>2867.85</v>
      </c>
      <c r="P541" s="14">
        <f t="shared" si="188"/>
        <v>0</v>
      </c>
      <c r="Q541" s="55">
        <f t="shared" si="186"/>
        <v>22031.55</v>
      </c>
    </row>
    <row r="542" spans="1:17" ht="12">
      <c r="A542" s="11"/>
      <c r="B542" s="12"/>
      <c r="C542" s="13"/>
      <c r="D542" s="27"/>
      <c r="E542" s="10" t="s">
        <v>29</v>
      </c>
      <c r="F542" s="10">
        <v>5652.89</v>
      </c>
      <c r="G542" s="10"/>
      <c r="H542" s="16">
        <v>600</v>
      </c>
      <c r="I542" s="10"/>
      <c r="J542" s="10"/>
      <c r="K542" s="10"/>
      <c r="L542" s="10"/>
      <c r="M542" s="10"/>
      <c r="N542" s="10"/>
      <c r="O542" s="16">
        <v>3308.71</v>
      </c>
      <c r="P542" s="10"/>
      <c r="Q542" s="29">
        <f t="shared" si="186"/>
        <v>9561.6</v>
      </c>
    </row>
    <row r="543" spans="1:17" ht="12.75">
      <c r="A543" s="11"/>
      <c r="B543" s="12"/>
      <c r="C543" s="13"/>
      <c r="D543" s="27"/>
      <c r="E543" s="10" t="s">
        <v>30</v>
      </c>
      <c r="F543" s="10">
        <v>7393.09</v>
      </c>
      <c r="G543" s="10"/>
      <c r="H543" s="17">
        <v>600</v>
      </c>
      <c r="I543" s="10"/>
      <c r="J543" s="10"/>
      <c r="K543" s="17">
        <v>7286.68</v>
      </c>
      <c r="L543" s="10"/>
      <c r="M543" s="10"/>
      <c r="N543" s="10"/>
      <c r="O543" s="10"/>
      <c r="P543" s="10"/>
      <c r="Q543" s="29">
        <f t="shared" si="186"/>
        <v>15279.77</v>
      </c>
    </row>
    <row r="544" spans="1:17" ht="12.75">
      <c r="A544" s="11"/>
      <c r="B544" s="12"/>
      <c r="C544" s="13"/>
      <c r="D544" s="27"/>
      <c r="E544" s="10" t="s">
        <v>31</v>
      </c>
      <c r="F544" s="10">
        <v>3046.17</v>
      </c>
      <c r="G544" s="10"/>
      <c r="H544" s="17">
        <v>360</v>
      </c>
      <c r="I544" s="10"/>
      <c r="J544" s="10"/>
      <c r="K544" s="17">
        <v>6796.02</v>
      </c>
      <c r="L544" s="10"/>
      <c r="M544" s="10"/>
      <c r="N544" s="10"/>
      <c r="O544" s="10"/>
      <c r="P544" s="10"/>
      <c r="Q544" s="29">
        <f t="shared" si="186"/>
        <v>10202.19</v>
      </c>
    </row>
    <row r="545" spans="1:17" ht="12">
      <c r="A545" s="11"/>
      <c r="B545" s="12"/>
      <c r="C545" s="13"/>
      <c r="D545" s="27"/>
      <c r="E545" s="14" t="s">
        <v>32</v>
      </c>
      <c r="F545" s="14">
        <f aca="true" t="shared" si="189" ref="F545:P545">SUM(F542:F544)</f>
        <v>16092.15</v>
      </c>
      <c r="G545" s="14">
        <f t="shared" si="189"/>
        <v>0</v>
      </c>
      <c r="H545" s="14">
        <f t="shared" si="189"/>
        <v>1560</v>
      </c>
      <c r="I545" s="14">
        <f t="shared" si="189"/>
        <v>0</v>
      </c>
      <c r="J545" s="14">
        <f t="shared" si="189"/>
        <v>0</v>
      </c>
      <c r="K545" s="14">
        <f t="shared" si="189"/>
        <v>14082.7</v>
      </c>
      <c r="L545" s="14">
        <f t="shared" si="189"/>
        <v>0</v>
      </c>
      <c r="M545" s="14">
        <f t="shared" si="189"/>
        <v>0</v>
      </c>
      <c r="N545" s="14">
        <f t="shared" si="189"/>
        <v>0</v>
      </c>
      <c r="O545" s="14">
        <f t="shared" si="189"/>
        <v>3308.71</v>
      </c>
      <c r="P545" s="14">
        <f t="shared" si="189"/>
        <v>0</v>
      </c>
      <c r="Q545" s="55">
        <f t="shared" si="186"/>
        <v>35043.560000000005</v>
      </c>
    </row>
    <row r="546" spans="1:17" ht="12.75">
      <c r="A546" s="11"/>
      <c r="B546" s="12"/>
      <c r="C546" s="13"/>
      <c r="D546" s="27"/>
      <c r="E546" s="10" t="s">
        <v>33</v>
      </c>
      <c r="F546" s="10">
        <v>5084.04</v>
      </c>
      <c r="G546" s="10"/>
      <c r="H546" s="17">
        <v>360</v>
      </c>
      <c r="I546" s="10"/>
      <c r="J546" s="10"/>
      <c r="K546" s="17">
        <v>6796.02</v>
      </c>
      <c r="L546" s="10"/>
      <c r="M546" s="10"/>
      <c r="N546" s="10"/>
      <c r="O546" s="10"/>
      <c r="P546" s="10"/>
      <c r="Q546" s="29">
        <f t="shared" si="186"/>
        <v>12240.060000000001</v>
      </c>
    </row>
    <row r="547" spans="1:17" ht="12.75">
      <c r="A547" s="11"/>
      <c r="B547" s="12"/>
      <c r="C547" s="13"/>
      <c r="D547" s="27"/>
      <c r="E547" s="10" t="s">
        <v>34</v>
      </c>
      <c r="F547" s="10">
        <v>3606.02</v>
      </c>
      <c r="G547" s="10"/>
      <c r="H547" s="17">
        <v>480</v>
      </c>
      <c r="I547" s="10"/>
      <c r="J547" s="10"/>
      <c r="K547" s="17">
        <v>13708.4</v>
      </c>
      <c r="L547" s="10"/>
      <c r="M547" s="10"/>
      <c r="N547" s="10"/>
      <c r="O547" s="17">
        <v>2867.85</v>
      </c>
      <c r="P547" s="10"/>
      <c r="Q547" s="29">
        <f t="shared" si="186"/>
        <v>20662.269999999997</v>
      </c>
    </row>
    <row r="548" spans="1:17" ht="12.75">
      <c r="A548" s="11"/>
      <c r="B548" s="12"/>
      <c r="C548" s="13"/>
      <c r="D548" s="27"/>
      <c r="E548" s="10" t="s">
        <v>35</v>
      </c>
      <c r="F548" s="10">
        <v>3269.05</v>
      </c>
      <c r="G548" s="10"/>
      <c r="H548" s="18">
        <v>480</v>
      </c>
      <c r="I548" s="10"/>
      <c r="J548" s="10"/>
      <c r="K548" s="10"/>
      <c r="L548" s="10"/>
      <c r="M548" s="10"/>
      <c r="N548" s="10"/>
      <c r="O548" s="10"/>
      <c r="P548" s="10"/>
      <c r="Q548" s="29">
        <f t="shared" si="186"/>
        <v>3749.05</v>
      </c>
    </row>
    <row r="549" spans="1:17" ht="12">
      <c r="A549" s="11"/>
      <c r="B549" s="12"/>
      <c r="C549" s="13"/>
      <c r="D549" s="27"/>
      <c r="E549" s="14" t="s">
        <v>36</v>
      </c>
      <c r="F549" s="14">
        <f aca="true" t="shared" si="190" ref="F549:P549">SUM(F546:F548)</f>
        <v>11959.11</v>
      </c>
      <c r="G549" s="14">
        <f t="shared" si="190"/>
        <v>0</v>
      </c>
      <c r="H549" s="14">
        <f t="shared" si="190"/>
        <v>1320</v>
      </c>
      <c r="I549" s="14">
        <f t="shared" si="190"/>
        <v>0</v>
      </c>
      <c r="J549" s="14">
        <f t="shared" si="190"/>
        <v>0</v>
      </c>
      <c r="K549" s="14">
        <f t="shared" si="190"/>
        <v>20504.42</v>
      </c>
      <c r="L549" s="14">
        <f t="shared" si="190"/>
        <v>0</v>
      </c>
      <c r="M549" s="14">
        <f t="shared" si="190"/>
        <v>0</v>
      </c>
      <c r="N549" s="14">
        <f t="shared" si="190"/>
        <v>0</v>
      </c>
      <c r="O549" s="14">
        <f t="shared" si="190"/>
        <v>2867.85</v>
      </c>
      <c r="P549" s="14">
        <f t="shared" si="190"/>
        <v>0</v>
      </c>
      <c r="Q549" s="55">
        <f t="shared" si="186"/>
        <v>36651.38</v>
      </c>
    </row>
    <row r="550" spans="1:17" ht="12.75" thickBot="1">
      <c r="A550" s="11"/>
      <c r="B550" s="12"/>
      <c r="C550" s="13"/>
      <c r="D550" s="27"/>
      <c r="E550" s="22" t="s">
        <v>37</v>
      </c>
      <c r="F550" s="22">
        <f aca="true" t="shared" si="191" ref="F550:Q550">F537+F541+F545+F549</f>
        <v>74175.79000000001</v>
      </c>
      <c r="G550" s="22">
        <f t="shared" si="191"/>
        <v>0</v>
      </c>
      <c r="H550" s="22">
        <f t="shared" si="191"/>
        <v>6840</v>
      </c>
      <c r="I550" s="22">
        <f t="shared" si="191"/>
        <v>0</v>
      </c>
      <c r="J550" s="22">
        <f t="shared" si="191"/>
        <v>420</v>
      </c>
      <c r="K550" s="22">
        <f t="shared" si="191"/>
        <v>36396.96</v>
      </c>
      <c r="L550" s="22">
        <f t="shared" si="191"/>
        <v>0</v>
      </c>
      <c r="M550" s="22">
        <f t="shared" si="191"/>
        <v>0</v>
      </c>
      <c r="N550" s="22">
        <f t="shared" si="191"/>
        <v>0</v>
      </c>
      <c r="O550" s="22">
        <f t="shared" si="191"/>
        <v>11399.960000000001</v>
      </c>
      <c r="P550" s="35">
        <f t="shared" si="191"/>
        <v>0</v>
      </c>
      <c r="Q550" s="23">
        <f t="shared" si="191"/>
        <v>129232.71000000002</v>
      </c>
    </row>
    <row r="551" spans="1:17" ht="12">
      <c r="A551" s="11">
        <v>33</v>
      </c>
      <c r="B551" s="12">
        <v>62</v>
      </c>
      <c r="C551" s="13" t="s">
        <v>100</v>
      </c>
      <c r="D551" s="36" t="s">
        <v>101</v>
      </c>
      <c r="E551" s="10" t="s">
        <v>21</v>
      </c>
      <c r="F551" s="10">
        <v>1415.56</v>
      </c>
      <c r="G551" s="10"/>
      <c r="H551" s="10"/>
      <c r="I551" s="10"/>
      <c r="J551" s="10"/>
      <c r="K551" s="10"/>
      <c r="L551" s="10"/>
      <c r="M551" s="10"/>
      <c r="N551" s="10"/>
      <c r="O551" s="10">
        <v>423.75</v>
      </c>
      <c r="P551" s="10"/>
      <c r="Q551" s="29">
        <f aca="true" t="shared" si="192" ref="Q551:Q566">SUM(F551:P551)</f>
        <v>1839.31</v>
      </c>
    </row>
    <row r="552" spans="1:17" ht="12">
      <c r="A552" s="11"/>
      <c r="B552" s="12"/>
      <c r="C552" s="13"/>
      <c r="D552" s="27"/>
      <c r="E552" s="10" t="s">
        <v>22</v>
      </c>
      <c r="F552" s="10">
        <v>1659.85</v>
      </c>
      <c r="G552" s="10"/>
      <c r="H552" s="10">
        <v>120</v>
      </c>
      <c r="I552" s="10"/>
      <c r="J552" s="10"/>
      <c r="K552" s="10"/>
      <c r="L552" s="10"/>
      <c r="M552" s="10"/>
      <c r="N552" s="10"/>
      <c r="O552" s="10">
        <v>1301.65</v>
      </c>
      <c r="P552" s="10"/>
      <c r="Q552" s="29">
        <f t="shared" si="192"/>
        <v>3081.5</v>
      </c>
    </row>
    <row r="553" spans="1:17" ht="12">
      <c r="A553" s="11"/>
      <c r="B553" s="12"/>
      <c r="C553" s="13"/>
      <c r="D553" s="27"/>
      <c r="E553" s="10" t="s">
        <v>23</v>
      </c>
      <c r="F553" s="10">
        <v>1397.07</v>
      </c>
      <c r="G553" s="10"/>
      <c r="H553" s="10"/>
      <c r="I553" s="10"/>
      <c r="J553" s="10"/>
      <c r="K553" s="10">
        <v>2162.51</v>
      </c>
      <c r="L553" s="10"/>
      <c r="M553" s="10"/>
      <c r="N553" s="10"/>
      <c r="O553" s="10">
        <v>3348.68</v>
      </c>
      <c r="P553" s="10"/>
      <c r="Q553" s="29">
        <f t="shared" si="192"/>
        <v>6908.26</v>
      </c>
    </row>
    <row r="554" spans="1:17" ht="12">
      <c r="A554" s="11"/>
      <c r="B554" s="12"/>
      <c r="C554" s="13"/>
      <c r="D554" s="27"/>
      <c r="E554" s="14" t="s">
        <v>24</v>
      </c>
      <c r="F554" s="14">
        <f aca="true" t="shared" si="193" ref="F554:P554">SUM(F551:F553)</f>
        <v>4472.48</v>
      </c>
      <c r="G554" s="14">
        <f t="shared" si="193"/>
        <v>0</v>
      </c>
      <c r="H554" s="14">
        <f t="shared" si="193"/>
        <v>120</v>
      </c>
      <c r="I554" s="14">
        <f t="shared" si="193"/>
        <v>0</v>
      </c>
      <c r="J554" s="14">
        <f t="shared" si="193"/>
        <v>0</v>
      </c>
      <c r="K554" s="14">
        <f t="shared" si="193"/>
        <v>2162.51</v>
      </c>
      <c r="L554" s="14">
        <f t="shared" si="193"/>
        <v>0</v>
      </c>
      <c r="M554" s="14">
        <f t="shared" si="193"/>
        <v>0</v>
      </c>
      <c r="N554" s="14">
        <f t="shared" si="193"/>
        <v>0</v>
      </c>
      <c r="O554" s="14">
        <f t="shared" si="193"/>
        <v>5074.08</v>
      </c>
      <c r="P554" s="14">
        <f t="shared" si="193"/>
        <v>0</v>
      </c>
      <c r="Q554" s="55">
        <f t="shared" si="192"/>
        <v>11829.07</v>
      </c>
    </row>
    <row r="555" spans="1:17" ht="12">
      <c r="A555" s="11"/>
      <c r="B555" s="12"/>
      <c r="C555" s="13"/>
      <c r="D555" s="27"/>
      <c r="E555" s="10" t="s">
        <v>25</v>
      </c>
      <c r="F555" s="10">
        <v>670.49</v>
      </c>
      <c r="G555" s="10"/>
      <c r="H555" s="10"/>
      <c r="I555" s="10"/>
      <c r="J555" s="10"/>
      <c r="K555" s="10"/>
      <c r="L555" s="10"/>
      <c r="M555" s="10"/>
      <c r="N555" s="10"/>
      <c r="O555" s="10">
        <v>1463.49</v>
      </c>
      <c r="P555" s="10"/>
      <c r="Q555" s="29">
        <f t="shared" si="192"/>
        <v>2133.98</v>
      </c>
    </row>
    <row r="556" spans="1:17" ht="12">
      <c r="A556" s="11"/>
      <c r="B556" s="12"/>
      <c r="C556" s="13"/>
      <c r="D556" s="27"/>
      <c r="E556" s="10" t="s">
        <v>26</v>
      </c>
      <c r="F556" s="10">
        <v>465.09</v>
      </c>
      <c r="G556" s="10"/>
      <c r="H556" s="10"/>
      <c r="I556" s="10"/>
      <c r="J556" s="10"/>
      <c r="K556" s="10">
        <v>8531.68</v>
      </c>
      <c r="L556" s="10"/>
      <c r="M556" s="10"/>
      <c r="N556" s="10"/>
      <c r="O556" s="10">
        <v>1463.48</v>
      </c>
      <c r="P556" s="10"/>
      <c r="Q556" s="29">
        <f t="shared" si="192"/>
        <v>10460.25</v>
      </c>
    </row>
    <row r="557" spans="1:17" ht="12">
      <c r="A557" s="11"/>
      <c r="B557" s="12"/>
      <c r="C557" s="13"/>
      <c r="D557" s="27"/>
      <c r="E557" s="10" t="s">
        <v>27</v>
      </c>
      <c r="F557" s="10">
        <v>252.81</v>
      </c>
      <c r="G557" s="10"/>
      <c r="H557" s="10"/>
      <c r="I557" s="10"/>
      <c r="J557" s="10"/>
      <c r="K557" s="10"/>
      <c r="L557" s="10"/>
      <c r="M557" s="10"/>
      <c r="N557" s="10"/>
      <c r="O557" s="10">
        <v>1301.65</v>
      </c>
      <c r="P557" s="10"/>
      <c r="Q557" s="29">
        <f t="shared" si="192"/>
        <v>1554.46</v>
      </c>
    </row>
    <row r="558" spans="1:17" ht="12">
      <c r="A558" s="11"/>
      <c r="B558" s="12"/>
      <c r="C558" s="13"/>
      <c r="D558" s="27"/>
      <c r="E558" s="14" t="s">
        <v>28</v>
      </c>
      <c r="F558" s="14">
        <f aca="true" t="shared" si="194" ref="F558:P558">SUM(F555:F557)</f>
        <v>1388.3899999999999</v>
      </c>
      <c r="G558" s="14">
        <f t="shared" si="194"/>
        <v>0</v>
      </c>
      <c r="H558" s="14">
        <f t="shared" si="194"/>
        <v>0</v>
      </c>
      <c r="I558" s="14">
        <f t="shared" si="194"/>
        <v>0</v>
      </c>
      <c r="J558" s="14">
        <f t="shared" si="194"/>
        <v>0</v>
      </c>
      <c r="K558" s="14">
        <f t="shared" si="194"/>
        <v>8531.68</v>
      </c>
      <c r="L558" s="14">
        <f t="shared" si="194"/>
        <v>0</v>
      </c>
      <c r="M558" s="14">
        <f t="shared" si="194"/>
        <v>0</v>
      </c>
      <c r="N558" s="14">
        <f t="shared" si="194"/>
        <v>0</v>
      </c>
      <c r="O558" s="14">
        <f t="shared" si="194"/>
        <v>4228.620000000001</v>
      </c>
      <c r="P558" s="14">
        <f t="shared" si="194"/>
        <v>0</v>
      </c>
      <c r="Q558" s="55">
        <f t="shared" si="192"/>
        <v>14148.69</v>
      </c>
    </row>
    <row r="559" spans="1:17" ht="12">
      <c r="A559" s="11"/>
      <c r="B559" s="12"/>
      <c r="C559" s="13"/>
      <c r="D559" s="27"/>
      <c r="E559" s="10" t="s">
        <v>29</v>
      </c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29">
        <f t="shared" si="192"/>
        <v>0</v>
      </c>
    </row>
    <row r="560" spans="1:17" ht="12">
      <c r="A560" s="11"/>
      <c r="B560" s="12"/>
      <c r="C560" s="13"/>
      <c r="D560" s="27"/>
      <c r="E560" s="10" t="s">
        <v>30</v>
      </c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29">
        <f t="shared" si="192"/>
        <v>0</v>
      </c>
    </row>
    <row r="561" spans="1:17" ht="12">
      <c r="A561" s="11"/>
      <c r="B561" s="12"/>
      <c r="C561" s="13"/>
      <c r="D561" s="27"/>
      <c r="E561" s="10" t="s">
        <v>31</v>
      </c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29">
        <f t="shared" si="192"/>
        <v>0</v>
      </c>
    </row>
    <row r="562" spans="1:17" ht="12">
      <c r="A562" s="11"/>
      <c r="B562" s="12"/>
      <c r="C562" s="13"/>
      <c r="D562" s="27"/>
      <c r="E562" s="14" t="s">
        <v>32</v>
      </c>
      <c r="F562" s="14">
        <f aca="true" t="shared" si="195" ref="F562:P562">SUM(F559:F561)</f>
        <v>0</v>
      </c>
      <c r="G562" s="14">
        <f t="shared" si="195"/>
        <v>0</v>
      </c>
      <c r="H562" s="14">
        <f t="shared" si="195"/>
        <v>0</v>
      </c>
      <c r="I562" s="14">
        <f t="shared" si="195"/>
        <v>0</v>
      </c>
      <c r="J562" s="14">
        <f t="shared" si="195"/>
        <v>0</v>
      </c>
      <c r="K562" s="14">
        <f t="shared" si="195"/>
        <v>0</v>
      </c>
      <c r="L562" s="14">
        <f t="shared" si="195"/>
        <v>0</v>
      </c>
      <c r="M562" s="14">
        <f t="shared" si="195"/>
        <v>0</v>
      </c>
      <c r="N562" s="14">
        <f t="shared" si="195"/>
        <v>0</v>
      </c>
      <c r="O562" s="14">
        <f t="shared" si="195"/>
        <v>0</v>
      </c>
      <c r="P562" s="14">
        <f t="shared" si="195"/>
        <v>0</v>
      </c>
      <c r="Q562" s="55">
        <f t="shared" si="192"/>
        <v>0</v>
      </c>
    </row>
    <row r="563" spans="1:17" ht="12">
      <c r="A563" s="11"/>
      <c r="B563" s="12"/>
      <c r="C563" s="13"/>
      <c r="D563" s="27"/>
      <c r="E563" s="10" t="s">
        <v>33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29">
        <f t="shared" si="192"/>
        <v>0</v>
      </c>
    </row>
    <row r="564" spans="1:17" ht="12">
      <c r="A564" s="11"/>
      <c r="B564" s="12"/>
      <c r="C564" s="13"/>
      <c r="D564" s="27"/>
      <c r="E564" s="10" t="s">
        <v>34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29">
        <f t="shared" si="192"/>
        <v>0</v>
      </c>
    </row>
    <row r="565" spans="1:17" ht="12">
      <c r="A565" s="11"/>
      <c r="B565" s="12"/>
      <c r="C565" s="13"/>
      <c r="D565" s="27"/>
      <c r="E565" s="10" t="s">
        <v>35</v>
      </c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29">
        <f t="shared" si="192"/>
        <v>0</v>
      </c>
    </row>
    <row r="566" spans="1:17" ht="12">
      <c r="A566" s="11"/>
      <c r="B566" s="12"/>
      <c r="C566" s="13"/>
      <c r="D566" s="27"/>
      <c r="E566" s="14" t="s">
        <v>36</v>
      </c>
      <c r="F566" s="14">
        <f aca="true" t="shared" si="196" ref="F566:P566">SUM(F563:F565)</f>
        <v>0</v>
      </c>
      <c r="G566" s="14">
        <f t="shared" si="196"/>
        <v>0</v>
      </c>
      <c r="H566" s="14">
        <f t="shared" si="196"/>
        <v>0</v>
      </c>
      <c r="I566" s="14">
        <f t="shared" si="196"/>
        <v>0</v>
      </c>
      <c r="J566" s="14">
        <f t="shared" si="196"/>
        <v>0</v>
      </c>
      <c r="K566" s="14">
        <f t="shared" si="196"/>
        <v>0</v>
      </c>
      <c r="L566" s="14">
        <f t="shared" si="196"/>
        <v>0</v>
      </c>
      <c r="M566" s="14">
        <f t="shared" si="196"/>
        <v>0</v>
      </c>
      <c r="N566" s="14">
        <f t="shared" si="196"/>
        <v>0</v>
      </c>
      <c r="O566" s="14">
        <f t="shared" si="196"/>
        <v>0</v>
      </c>
      <c r="P566" s="14">
        <f t="shared" si="196"/>
        <v>0</v>
      </c>
      <c r="Q566" s="55">
        <f t="shared" si="192"/>
        <v>0</v>
      </c>
    </row>
    <row r="567" spans="1:17" ht="12.75" thickBot="1">
      <c r="A567" s="11"/>
      <c r="B567" s="12"/>
      <c r="C567" s="13"/>
      <c r="D567" s="27"/>
      <c r="E567" s="22" t="s">
        <v>37</v>
      </c>
      <c r="F567" s="22">
        <f aca="true" t="shared" si="197" ref="F567:Q567">F554+F558+F562+F566</f>
        <v>5860.869999999999</v>
      </c>
      <c r="G567" s="22">
        <f t="shared" si="197"/>
        <v>0</v>
      </c>
      <c r="H567" s="22">
        <f t="shared" si="197"/>
        <v>120</v>
      </c>
      <c r="I567" s="22">
        <f t="shared" si="197"/>
        <v>0</v>
      </c>
      <c r="J567" s="22">
        <f t="shared" si="197"/>
        <v>0</v>
      </c>
      <c r="K567" s="22">
        <f t="shared" si="197"/>
        <v>10694.19</v>
      </c>
      <c r="L567" s="22">
        <f t="shared" si="197"/>
        <v>0</v>
      </c>
      <c r="M567" s="22">
        <f t="shared" si="197"/>
        <v>0</v>
      </c>
      <c r="N567" s="22">
        <f t="shared" si="197"/>
        <v>0</v>
      </c>
      <c r="O567" s="22">
        <f t="shared" si="197"/>
        <v>9302.7</v>
      </c>
      <c r="P567" s="35">
        <f t="shared" si="197"/>
        <v>0</v>
      </c>
      <c r="Q567" s="23">
        <f t="shared" si="197"/>
        <v>25977.760000000002</v>
      </c>
    </row>
    <row r="568" spans="1:17" ht="12">
      <c r="A568" s="11">
        <v>34</v>
      </c>
      <c r="B568" s="12">
        <v>41</v>
      </c>
      <c r="C568" s="13" t="s">
        <v>102</v>
      </c>
      <c r="D568" s="27" t="s">
        <v>103</v>
      </c>
      <c r="E568" s="10" t="s">
        <v>21</v>
      </c>
      <c r="F568" s="10">
        <v>6701.69</v>
      </c>
      <c r="G568" s="10"/>
      <c r="H568" s="10">
        <v>240</v>
      </c>
      <c r="I568" s="10"/>
      <c r="J568" s="10"/>
      <c r="K568" s="10">
        <v>8765.16</v>
      </c>
      <c r="L568" s="10"/>
      <c r="M568" s="10"/>
      <c r="N568" s="10"/>
      <c r="O568" s="10"/>
      <c r="P568" s="10"/>
      <c r="Q568" s="29">
        <f aca="true" t="shared" si="198" ref="Q568:Q583">SUM(F568:P568)</f>
        <v>15706.849999999999</v>
      </c>
    </row>
    <row r="569" spans="1:17" ht="12">
      <c r="A569" s="11"/>
      <c r="B569" s="12"/>
      <c r="C569" s="13"/>
      <c r="D569" s="27"/>
      <c r="E569" s="10" t="s">
        <v>22</v>
      </c>
      <c r="F569" s="10">
        <v>5843.26</v>
      </c>
      <c r="G569" s="10"/>
      <c r="H569" s="10"/>
      <c r="I569" s="10"/>
      <c r="J569" s="10"/>
      <c r="K569" s="10">
        <v>9139.66</v>
      </c>
      <c r="L569" s="10"/>
      <c r="M569" s="10"/>
      <c r="N569" s="10"/>
      <c r="O569" s="10"/>
      <c r="P569" s="10"/>
      <c r="Q569" s="29">
        <f t="shared" si="198"/>
        <v>14982.92</v>
      </c>
    </row>
    <row r="570" spans="1:17" ht="12">
      <c r="A570" s="11"/>
      <c r="B570" s="12"/>
      <c r="C570" s="13"/>
      <c r="D570" s="27"/>
      <c r="E570" s="10" t="s">
        <v>23</v>
      </c>
      <c r="F570" s="10">
        <v>6615.43</v>
      </c>
      <c r="G570" s="10"/>
      <c r="H570" s="10">
        <v>360</v>
      </c>
      <c r="I570" s="10"/>
      <c r="J570" s="10"/>
      <c r="K570" s="10">
        <v>5115.18</v>
      </c>
      <c r="L570" s="10"/>
      <c r="M570" s="10"/>
      <c r="N570" s="10"/>
      <c r="O570" s="10"/>
      <c r="P570" s="10"/>
      <c r="Q570" s="29">
        <f t="shared" si="198"/>
        <v>12090.61</v>
      </c>
    </row>
    <row r="571" spans="1:17" ht="12">
      <c r="A571" s="11"/>
      <c r="B571" s="12"/>
      <c r="C571" s="13"/>
      <c r="D571" s="27"/>
      <c r="E571" s="14" t="s">
        <v>24</v>
      </c>
      <c r="F571" s="14">
        <f aca="true" t="shared" si="199" ref="F571:P571">SUM(F568:F570)</f>
        <v>19160.38</v>
      </c>
      <c r="G571" s="14">
        <f t="shared" si="199"/>
        <v>0</v>
      </c>
      <c r="H571" s="14">
        <f t="shared" si="199"/>
        <v>600</v>
      </c>
      <c r="I571" s="14">
        <f t="shared" si="199"/>
        <v>0</v>
      </c>
      <c r="J571" s="14">
        <f t="shared" si="199"/>
        <v>0</v>
      </c>
      <c r="K571" s="14">
        <f t="shared" si="199"/>
        <v>23020</v>
      </c>
      <c r="L571" s="14">
        <f t="shared" si="199"/>
        <v>0</v>
      </c>
      <c r="M571" s="14">
        <f t="shared" si="199"/>
        <v>0</v>
      </c>
      <c r="N571" s="14">
        <f t="shared" si="199"/>
        <v>0</v>
      </c>
      <c r="O571" s="14">
        <f t="shared" si="199"/>
        <v>0</v>
      </c>
      <c r="P571" s="14">
        <f t="shared" si="199"/>
        <v>0</v>
      </c>
      <c r="Q571" s="55">
        <f t="shared" si="198"/>
        <v>42780.380000000005</v>
      </c>
    </row>
    <row r="572" spans="1:17" ht="12">
      <c r="A572" s="11"/>
      <c r="B572" s="12"/>
      <c r="C572" s="13"/>
      <c r="D572" s="27"/>
      <c r="E572" s="10" t="s">
        <v>25</v>
      </c>
      <c r="F572" s="10">
        <v>8489.97</v>
      </c>
      <c r="G572" s="10"/>
      <c r="H572" s="10">
        <v>480</v>
      </c>
      <c r="I572" s="10"/>
      <c r="J572" s="10"/>
      <c r="K572" s="10">
        <v>4909.88</v>
      </c>
      <c r="L572" s="10"/>
      <c r="M572" s="10"/>
      <c r="N572" s="10"/>
      <c r="O572" s="10"/>
      <c r="P572" s="10"/>
      <c r="Q572" s="29">
        <f t="shared" si="198"/>
        <v>13879.849999999999</v>
      </c>
    </row>
    <row r="573" spans="1:17" ht="12">
      <c r="A573" s="11"/>
      <c r="B573" s="12"/>
      <c r="C573" s="13"/>
      <c r="D573" s="27"/>
      <c r="E573" s="10" t="s">
        <v>26</v>
      </c>
      <c r="F573" s="10">
        <v>6828.04</v>
      </c>
      <c r="G573" s="10"/>
      <c r="H573" s="10">
        <v>240</v>
      </c>
      <c r="I573" s="10"/>
      <c r="J573" s="10"/>
      <c r="K573" s="10">
        <v>4355.29</v>
      </c>
      <c r="L573" s="10"/>
      <c r="M573" s="10"/>
      <c r="N573" s="10"/>
      <c r="O573" s="10"/>
      <c r="P573" s="10"/>
      <c r="Q573" s="29">
        <f t="shared" si="198"/>
        <v>11423.33</v>
      </c>
    </row>
    <row r="574" spans="1:17" ht="12">
      <c r="A574" s="11"/>
      <c r="B574" s="12"/>
      <c r="C574" s="13"/>
      <c r="D574" s="27"/>
      <c r="E574" s="10" t="s">
        <v>27</v>
      </c>
      <c r="F574" s="10">
        <v>7993.91</v>
      </c>
      <c r="G574" s="10"/>
      <c r="H574" s="10">
        <v>480</v>
      </c>
      <c r="I574" s="10"/>
      <c r="J574" s="10"/>
      <c r="K574" s="10">
        <v>6159.7</v>
      </c>
      <c r="L574" s="10"/>
      <c r="M574" s="10"/>
      <c r="N574" s="10"/>
      <c r="O574" s="10"/>
      <c r="P574" s="10"/>
      <c r="Q574" s="29">
        <f t="shared" si="198"/>
        <v>14633.61</v>
      </c>
    </row>
    <row r="575" spans="1:17" ht="12">
      <c r="A575" s="11"/>
      <c r="B575" s="12"/>
      <c r="C575" s="13"/>
      <c r="D575" s="27"/>
      <c r="E575" s="14" t="s">
        <v>28</v>
      </c>
      <c r="F575" s="14">
        <f aca="true" t="shared" si="200" ref="F575:P575">SUM(F572:F574)</f>
        <v>23311.92</v>
      </c>
      <c r="G575" s="14">
        <f t="shared" si="200"/>
        <v>0</v>
      </c>
      <c r="H575" s="14">
        <f t="shared" si="200"/>
        <v>1200</v>
      </c>
      <c r="I575" s="14">
        <f t="shared" si="200"/>
        <v>0</v>
      </c>
      <c r="J575" s="14">
        <f t="shared" si="200"/>
        <v>0</v>
      </c>
      <c r="K575" s="14">
        <f t="shared" si="200"/>
        <v>15424.869999999999</v>
      </c>
      <c r="L575" s="14">
        <f t="shared" si="200"/>
        <v>0</v>
      </c>
      <c r="M575" s="14">
        <f t="shared" si="200"/>
        <v>0</v>
      </c>
      <c r="N575" s="14">
        <f t="shared" si="200"/>
        <v>0</v>
      </c>
      <c r="O575" s="14">
        <f t="shared" si="200"/>
        <v>0</v>
      </c>
      <c r="P575" s="14">
        <f t="shared" si="200"/>
        <v>0</v>
      </c>
      <c r="Q575" s="55">
        <f t="shared" si="198"/>
        <v>39936.78999999999</v>
      </c>
    </row>
    <row r="576" spans="1:17" ht="12">
      <c r="A576" s="11"/>
      <c r="B576" s="12"/>
      <c r="C576" s="13"/>
      <c r="D576" s="27"/>
      <c r="E576" s="10" t="s">
        <v>29</v>
      </c>
      <c r="F576" s="10">
        <v>6300.57</v>
      </c>
      <c r="G576" s="10"/>
      <c r="H576" s="16">
        <v>480</v>
      </c>
      <c r="I576" s="10"/>
      <c r="J576" s="10"/>
      <c r="K576" s="16">
        <v>7586.09</v>
      </c>
      <c r="L576" s="10"/>
      <c r="M576" s="10"/>
      <c r="N576" s="10"/>
      <c r="O576" s="10"/>
      <c r="P576" s="10"/>
      <c r="Q576" s="29">
        <f t="shared" si="198"/>
        <v>14366.66</v>
      </c>
    </row>
    <row r="577" spans="1:17" ht="12.75">
      <c r="A577" s="11"/>
      <c r="B577" s="12"/>
      <c r="C577" s="13"/>
      <c r="D577" s="27"/>
      <c r="E577" s="10" t="s">
        <v>30</v>
      </c>
      <c r="F577" s="10">
        <v>5916.95</v>
      </c>
      <c r="G577" s="10"/>
      <c r="H577" s="17">
        <v>120</v>
      </c>
      <c r="I577" s="10"/>
      <c r="J577" s="10"/>
      <c r="K577" s="17">
        <v>4082.22</v>
      </c>
      <c r="L577" s="10"/>
      <c r="M577" s="10"/>
      <c r="N577" s="10"/>
      <c r="O577" s="10"/>
      <c r="P577" s="10"/>
      <c r="Q577" s="29">
        <f t="shared" si="198"/>
        <v>10119.17</v>
      </c>
    </row>
    <row r="578" spans="1:17" ht="12.75">
      <c r="A578" s="11"/>
      <c r="B578" s="12"/>
      <c r="C578" s="13"/>
      <c r="D578" s="27"/>
      <c r="E578" s="10" t="s">
        <v>31</v>
      </c>
      <c r="F578" s="10">
        <v>6295.85</v>
      </c>
      <c r="G578" s="10"/>
      <c r="H578" s="17">
        <v>240</v>
      </c>
      <c r="I578" s="10"/>
      <c r="J578" s="10"/>
      <c r="K578" s="17">
        <v>7206.66</v>
      </c>
      <c r="L578" s="10"/>
      <c r="M578" s="10"/>
      <c r="N578" s="10"/>
      <c r="O578" s="10"/>
      <c r="P578" s="17">
        <v>11234.47</v>
      </c>
      <c r="Q578" s="29">
        <f t="shared" si="198"/>
        <v>24976.98</v>
      </c>
    </row>
    <row r="579" spans="1:17" ht="12">
      <c r="A579" s="11"/>
      <c r="B579" s="12"/>
      <c r="C579" s="13"/>
      <c r="D579" s="27"/>
      <c r="E579" s="14" t="s">
        <v>32</v>
      </c>
      <c r="F579" s="14">
        <f aca="true" t="shared" si="201" ref="F579:P579">SUM(F576:F578)</f>
        <v>18513.370000000003</v>
      </c>
      <c r="G579" s="14">
        <f t="shared" si="201"/>
        <v>0</v>
      </c>
      <c r="H579" s="14">
        <f t="shared" si="201"/>
        <v>840</v>
      </c>
      <c r="I579" s="14">
        <f t="shared" si="201"/>
        <v>0</v>
      </c>
      <c r="J579" s="14">
        <f t="shared" si="201"/>
        <v>0</v>
      </c>
      <c r="K579" s="14">
        <f t="shared" si="201"/>
        <v>18874.97</v>
      </c>
      <c r="L579" s="14">
        <f t="shared" si="201"/>
        <v>0</v>
      </c>
      <c r="M579" s="14">
        <f t="shared" si="201"/>
        <v>0</v>
      </c>
      <c r="N579" s="14">
        <f t="shared" si="201"/>
        <v>0</v>
      </c>
      <c r="O579" s="14">
        <f t="shared" si="201"/>
        <v>0</v>
      </c>
      <c r="P579" s="14">
        <f t="shared" si="201"/>
        <v>11234.47</v>
      </c>
      <c r="Q579" s="55">
        <f t="shared" si="198"/>
        <v>49462.810000000005</v>
      </c>
    </row>
    <row r="580" spans="1:17" ht="12.75">
      <c r="A580" s="11"/>
      <c r="B580" s="12"/>
      <c r="C580" s="13"/>
      <c r="D580" s="27"/>
      <c r="E580" s="10" t="s">
        <v>33</v>
      </c>
      <c r="F580" s="10">
        <v>5316.02</v>
      </c>
      <c r="G580" s="10"/>
      <c r="H580" s="17">
        <v>240</v>
      </c>
      <c r="I580" s="10"/>
      <c r="J580" s="10"/>
      <c r="K580" s="17">
        <v>5035.46</v>
      </c>
      <c r="L580" s="10"/>
      <c r="M580" s="10"/>
      <c r="N580" s="10"/>
      <c r="O580" s="10"/>
      <c r="P580" s="10"/>
      <c r="Q580" s="29">
        <f t="shared" si="198"/>
        <v>10591.48</v>
      </c>
    </row>
    <row r="581" spans="1:17" ht="12.75">
      <c r="A581" s="11"/>
      <c r="B581" s="12"/>
      <c r="C581" s="13"/>
      <c r="D581" s="27"/>
      <c r="E581" s="10" t="s">
        <v>34</v>
      </c>
      <c r="F581" s="10">
        <v>8993.84</v>
      </c>
      <c r="G581" s="10"/>
      <c r="H581" s="17">
        <v>480</v>
      </c>
      <c r="I581" s="10"/>
      <c r="J581" s="10"/>
      <c r="K581" s="17">
        <v>4260.4</v>
      </c>
      <c r="L581" s="10"/>
      <c r="M581" s="10"/>
      <c r="N581" s="10"/>
      <c r="O581" s="10"/>
      <c r="P581" s="10"/>
      <c r="Q581" s="29">
        <f t="shared" si="198"/>
        <v>13734.24</v>
      </c>
    </row>
    <row r="582" spans="1:17" ht="12.75">
      <c r="A582" s="11"/>
      <c r="B582" s="12"/>
      <c r="C582" s="13"/>
      <c r="D582" s="27"/>
      <c r="E582" s="10" t="s">
        <v>35</v>
      </c>
      <c r="F582" s="10">
        <v>11104.81</v>
      </c>
      <c r="G582" s="10"/>
      <c r="H582" s="18">
        <v>480</v>
      </c>
      <c r="I582" s="10"/>
      <c r="J582" s="10"/>
      <c r="K582" s="10"/>
      <c r="L582" s="10"/>
      <c r="M582" s="10"/>
      <c r="N582" s="10"/>
      <c r="O582" s="10"/>
      <c r="P582" s="10"/>
      <c r="Q582" s="29">
        <f t="shared" si="198"/>
        <v>11584.81</v>
      </c>
    </row>
    <row r="583" spans="1:17" ht="12">
      <c r="A583" s="11"/>
      <c r="B583" s="12"/>
      <c r="C583" s="13"/>
      <c r="D583" s="27"/>
      <c r="E583" s="14" t="s">
        <v>36</v>
      </c>
      <c r="F583" s="14">
        <f aca="true" t="shared" si="202" ref="F583:P583">SUM(F580:F582)</f>
        <v>25414.67</v>
      </c>
      <c r="G583" s="14">
        <f t="shared" si="202"/>
        <v>0</v>
      </c>
      <c r="H583" s="14">
        <f t="shared" si="202"/>
        <v>1200</v>
      </c>
      <c r="I583" s="14">
        <f t="shared" si="202"/>
        <v>0</v>
      </c>
      <c r="J583" s="14">
        <f t="shared" si="202"/>
        <v>0</v>
      </c>
      <c r="K583" s="14">
        <f t="shared" si="202"/>
        <v>9295.86</v>
      </c>
      <c r="L583" s="14">
        <f t="shared" si="202"/>
        <v>0</v>
      </c>
      <c r="M583" s="14">
        <f t="shared" si="202"/>
        <v>0</v>
      </c>
      <c r="N583" s="14">
        <f t="shared" si="202"/>
        <v>0</v>
      </c>
      <c r="O583" s="14">
        <f t="shared" si="202"/>
        <v>0</v>
      </c>
      <c r="P583" s="14">
        <f t="shared" si="202"/>
        <v>0</v>
      </c>
      <c r="Q583" s="55">
        <f t="shared" si="198"/>
        <v>35910.53</v>
      </c>
    </row>
    <row r="584" spans="1:17" ht="12.75" thickBot="1">
      <c r="A584" s="11"/>
      <c r="B584" s="12"/>
      <c r="C584" s="13"/>
      <c r="D584" s="27"/>
      <c r="E584" s="22" t="s">
        <v>37</v>
      </c>
      <c r="F584" s="22">
        <f aca="true" t="shared" si="203" ref="F584:Q584">F571+F575+F579+F583</f>
        <v>86400.34</v>
      </c>
      <c r="G584" s="22">
        <f t="shared" si="203"/>
        <v>0</v>
      </c>
      <c r="H584" s="22">
        <f t="shared" si="203"/>
        <v>3840</v>
      </c>
      <c r="I584" s="22">
        <f t="shared" si="203"/>
        <v>0</v>
      </c>
      <c r="J584" s="22">
        <f t="shared" si="203"/>
        <v>0</v>
      </c>
      <c r="K584" s="22">
        <f t="shared" si="203"/>
        <v>66615.7</v>
      </c>
      <c r="L584" s="22">
        <f t="shared" si="203"/>
        <v>0</v>
      </c>
      <c r="M584" s="22">
        <f t="shared" si="203"/>
        <v>0</v>
      </c>
      <c r="N584" s="22">
        <f t="shared" si="203"/>
        <v>0</v>
      </c>
      <c r="O584" s="22">
        <f t="shared" si="203"/>
        <v>0</v>
      </c>
      <c r="P584" s="35">
        <f t="shared" si="203"/>
        <v>11234.47</v>
      </c>
      <c r="Q584" s="23">
        <f t="shared" si="203"/>
        <v>168090.51</v>
      </c>
    </row>
    <row r="585" spans="1:17" ht="12">
      <c r="A585" s="11">
        <v>35</v>
      </c>
      <c r="B585" s="12">
        <v>45</v>
      </c>
      <c r="C585" s="13" t="s">
        <v>104</v>
      </c>
      <c r="D585" s="27" t="s">
        <v>105</v>
      </c>
      <c r="E585" s="10" t="s">
        <v>21</v>
      </c>
      <c r="F585" s="10">
        <v>4921.55</v>
      </c>
      <c r="G585" s="10"/>
      <c r="H585" s="10">
        <v>360</v>
      </c>
      <c r="I585" s="10"/>
      <c r="J585" s="10"/>
      <c r="K585" s="10"/>
      <c r="L585" s="10"/>
      <c r="M585" s="10"/>
      <c r="N585" s="10"/>
      <c r="O585" s="10"/>
      <c r="P585" s="10"/>
      <c r="Q585" s="29">
        <f aca="true" t="shared" si="204" ref="Q585:Q600">SUM(F585:P585)</f>
        <v>5281.55</v>
      </c>
    </row>
    <row r="586" spans="1:17" ht="12">
      <c r="A586" s="11"/>
      <c r="B586" s="12"/>
      <c r="C586" s="13"/>
      <c r="D586" s="27"/>
      <c r="E586" s="10" t="s">
        <v>22</v>
      </c>
      <c r="F586" s="10">
        <v>2762.12</v>
      </c>
      <c r="G586" s="10"/>
      <c r="H586" s="10">
        <v>120</v>
      </c>
      <c r="I586" s="10"/>
      <c r="J586" s="10"/>
      <c r="K586" s="10"/>
      <c r="L586" s="10"/>
      <c r="M586" s="10"/>
      <c r="N586" s="10"/>
      <c r="O586" s="10"/>
      <c r="P586" s="10"/>
      <c r="Q586" s="29">
        <f t="shared" si="204"/>
        <v>2882.12</v>
      </c>
    </row>
    <row r="587" spans="1:17" ht="12">
      <c r="A587" s="11"/>
      <c r="B587" s="12"/>
      <c r="C587" s="13"/>
      <c r="D587" s="27"/>
      <c r="E587" s="10" t="s">
        <v>23</v>
      </c>
      <c r="F587" s="15">
        <f>5314.57-308.83</f>
        <v>5005.74</v>
      </c>
      <c r="G587" s="10"/>
      <c r="H587" s="10">
        <v>480</v>
      </c>
      <c r="I587" s="10"/>
      <c r="J587" s="10">
        <v>420</v>
      </c>
      <c r="K587" s="10"/>
      <c r="L587" s="10"/>
      <c r="M587" s="10"/>
      <c r="N587" s="10"/>
      <c r="O587" s="10"/>
      <c r="P587" s="10"/>
      <c r="Q587" s="29">
        <f t="shared" si="204"/>
        <v>5905.74</v>
      </c>
    </row>
    <row r="588" spans="1:17" ht="12">
      <c r="A588" s="11"/>
      <c r="B588" s="12"/>
      <c r="C588" s="13"/>
      <c r="D588" s="27"/>
      <c r="E588" s="14" t="s">
        <v>24</v>
      </c>
      <c r="F588" s="14">
        <f aca="true" t="shared" si="205" ref="F588:P588">SUM(F585:F587)</f>
        <v>12689.41</v>
      </c>
      <c r="G588" s="14">
        <f t="shared" si="205"/>
        <v>0</v>
      </c>
      <c r="H588" s="14">
        <f t="shared" si="205"/>
        <v>960</v>
      </c>
      <c r="I588" s="14">
        <f t="shared" si="205"/>
        <v>0</v>
      </c>
      <c r="J588" s="14">
        <f t="shared" si="205"/>
        <v>420</v>
      </c>
      <c r="K588" s="14">
        <f t="shared" si="205"/>
        <v>0</v>
      </c>
      <c r="L588" s="14">
        <f t="shared" si="205"/>
        <v>0</v>
      </c>
      <c r="M588" s="14">
        <f t="shared" si="205"/>
        <v>0</v>
      </c>
      <c r="N588" s="14">
        <f t="shared" si="205"/>
        <v>0</v>
      </c>
      <c r="O588" s="14">
        <f t="shared" si="205"/>
        <v>0</v>
      </c>
      <c r="P588" s="14">
        <f t="shared" si="205"/>
        <v>0</v>
      </c>
      <c r="Q588" s="55">
        <f t="shared" si="204"/>
        <v>14069.41</v>
      </c>
    </row>
    <row r="589" spans="1:17" ht="12">
      <c r="A589" s="11"/>
      <c r="B589" s="12"/>
      <c r="C589" s="13"/>
      <c r="D589" s="27"/>
      <c r="E589" s="10" t="s">
        <v>25</v>
      </c>
      <c r="F589" s="10">
        <f>308.83+5590.86</f>
        <v>5899.69</v>
      </c>
      <c r="G589" s="10"/>
      <c r="H589" s="10">
        <v>480</v>
      </c>
      <c r="I589" s="10"/>
      <c r="J589" s="10"/>
      <c r="K589" s="10">
        <v>154.91</v>
      </c>
      <c r="L589" s="10"/>
      <c r="M589" s="10"/>
      <c r="N589" s="10"/>
      <c r="O589" s="10"/>
      <c r="P589" s="10"/>
      <c r="Q589" s="29">
        <f t="shared" si="204"/>
        <v>6534.599999999999</v>
      </c>
    </row>
    <row r="590" spans="1:17" ht="12">
      <c r="A590" s="11"/>
      <c r="B590" s="12"/>
      <c r="C590" s="13"/>
      <c r="D590" s="27"/>
      <c r="E590" s="10" t="s">
        <v>26</v>
      </c>
      <c r="F590" s="10">
        <v>2295.93</v>
      </c>
      <c r="G590" s="10"/>
      <c r="H590" s="10">
        <v>120</v>
      </c>
      <c r="I590" s="10"/>
      <c r="J590" s="10"/>
      <c r="K590" s="10">
        <v>155.14</v>
      </c>
      <c r="L590" s="10"/>
      <c r="M590" s="10"/>
      <c r="N590" s="10"/>
      <c r="O590" s="10"/>
      <c r="P590" s="10"/>
      <c r="Q590" s="29">
        <f t="shared" si="204"/>
        <v>2571.0699999999997</v>
      </c>
    </row>
    <row r="591" spans="1:17" ht="12">
      <c r="A591" s="11"/>
      <c r="B591" s="12"/>
      <c r="C591" s="13"/>
      <c r="D591" s="27"/>
      <c r="E591" s="10" t="s">
        <v>27</v>
      </c>
      <c r="F591" s="10">
        <v>4242.9</v>
      </c>
      <c r="G591" s="10"/>
      <c r="H591" s="10">
        <v>360</v>
      </c>
      <c r="I591" s="10"/>
      <c r="J591" s="10">
        <v>420</v>
      </c>
      <c r="K591" s="10"/>
      <c r="L591" s="10"/>
      <c r="M591" s="10"/>
      <c r="N591" s="10"/>
      <c r="O591" s="10"/>
      <c r="P591" s="10"/>
      <c r="Q591" s="29">
        <f t="shared" si="204"/>
        <v>5022.9</v>
      </c>
    </row>
    <row r="592" spans="1:17" ht="12">
      <c r="A592" s="11"/>
      <c r="B592" s="12"/>
      <c r="C592" s="13"/>
      <c r="D592" s="27"/>
      <c r="E592" s="14" t="s">
        <v>28</v>
      </c>
      <c r="F592" s="14">
        <f aca="true" t="shared" si="206" ref="F592:P592">SUM(F589:F591)</f>
        <v>12438.519999999999</v>
      </c>
      <c r="G592" s="14">
        <f t="shared" si="206"/>
        <v>0</v>
      </c>
      <c r="H592" s="14">
        <f t="shared" si="206"/>
        <v>960</v>
      </c>
      <c r="I592" s="14">
        <f t="shared" si="206"/>
        <v>0</v>
      </c>
      <c r="J592" s="14">
        <f t="shared" si="206"/>
        <v>420</v>
      </c>
      <c r="K592" s="14">
        <f t="shared" si="206"/>
        <v>310.04999999999995</v>
      </c>
      <c r="L592" s="14">
        <f t="shared" si="206"/>
        <v>0</v>
      </c>
      <c r="M592" s="14">
        <f t="shared" si="206"/>
        <v>0</v>
      </c>
      <c r="N592" s="14">
        <f t="shared" si="206"/>
        <v>0</v>
      </c>
      <c r="O592" s="14">
        <f t="shared" si="206"/>
        <v>0</v>
      </c>
      <c r="P592" s="14">
        <f t="shared" si="206"/>
        <v>0</v>
      </c>
      <c r="Q592" s="55">
        <f t="shared" si="204"/>
        <v>14128.569999999998</v>
      </c>
    </row>
    <row r="593" spans="1:17" ht="12">
      <c r="A593" s="11"/>
      <c r="B593" s="12"/>
      <c r="C593" s="13"/>
      <c r="D593" s="27"/>
      <c r="E593" s="10" t="s">
        <v>29</v>
      </c>
      <c r="F593" s="10">
        <v>6982.39</v>
      </c>
      <c r="G593" s="10"/>
      <c r="H593" s="16">
        <v>720</v>
      </c>
      <c r="I593" s="10"/>
      <c r="J593" s="10"/>
      <c r="K593" s="10"/>
      <c r="L593" s="10"/>
      <c r="M593" s="10"/>
      <c r="N593" s="10"/>
      <c r="O593" s="10"/>
      <c r="P593" s="10"/>
      <c r="Q593" s="29">
        <f t="shared" si="204"/>
        <v>7702.39</v>
      </c>
    </row>
    <row r="594" spans="1:17" ht="12.75">
      <c r="A594" s="11"/>
      <c r="B594" s="12"/>
      <c r="C594" s="13"/>
      <c r="D594" s="27"/>
      <c r="E594" s="10" t="s">
        <v>30</v>
      </c>
      <c r="F594" s="10">
        <v>2938.02</v>
      </c>
      <c r="G594" s="10"/>
      <c r="H594" s="17">
        <v>120</v>
      </c>
      <c r="I594" s="10"/>
      <c r="J594" s="10"/>
      <c r="K594" s="17">
        <v>465.88</v>
      </c>
      <c r="L594" s="10"/>
      <c r="M594" s="10"/>
      <c r="N594" s="10"/>
      <c r="O594" s="10"/>
      <c r="P594" s="10"/>
      <c r="Q594" s="29">
        <f t="shared" si="204"/>
        <v>3523.9</v>
      </c>
    </row>
    <row r="595" spans="1:17" ht="12.75">
      <c r="A595" s="11"/>
      <c r="B595" s="12"/>
      <c r="C595" s="13"/>
      <c r="D595" s="27"/>
      <c r="E595" s="10" t="s">
        <v>31</v>
      </c>
      <c r="F595" s="10">
        <v>3233.9400000000005</v>
      </c>
      <c r="G595" s="10"/>
      <c r="H595" s="17">
        <v>240</v>
      </c>
      <c r="I595" s="10"/>
      <c r="J595" s="17">
        <v>420</v>
      </c>
      <c r="K595" s="17"/>
      <c r="L595" s="10"/>
      <c r="M595" s="10"/>
      <c r="N595" s="10"/>
      <c r="O595" s="10"/>
      <c r="P595" s="10"/>
      <c r="Q595" s="29">
        <f t="shared" si="204"/>
        <v>3893.9400000000005</v>
      </c>
    </row>
    <row r="596" spans="1:17" ht="12">
      <c r="A596" s="11"/>
      <c r="B596" s="12"/>
      <c r="C596" s="13"/>
      <c r="D596" s="27"/>
      <c r="E596" s="14" t="s">
        <v>32</v>
      </c>
      <c r="F596" s="14">
        <f aca="true" t="shared" si="207" ref="F596:P596">SUM(F593:F595)</f>
        <v>13154.35</v>
      </c>
      <c r="G596" s="14">
        <f t="shared" si="207"/>
        <v>0</v>
      </c>
      <c r="H596" s="14">
        <f t="shared" si="207"/>
        <v>1080</v>
      </c>
      <c r="I596" s="14">
        <f t="shared" si="207"/>
        <v>0</v>
      </c>
      <c r="J596" s="14">
        <f t="shared" si="207"/>
        <v>420</v>
      </c>
      <c r="K596" s="14">
        <f t="shared" si="207"/>
        <v>465.88</v>
      </c>
      <c r="L596" s="14">
        <f t="shared" si="207"/>
        <v>0</v>
      </c>
      <c r="M596" s="14">
        <f t="shared" si="207"/>
        <v>0</v>
      </c>
      <c r="N596" s="14">
        <f t="shared" si="207"/>
        <v>0</v>
      </c>
      <c r="O596" s="14">
        <f t="shared" si="207"/>
        <v>0</v>
      </c>
      <c r="P596" s="14">
        <f t="shared" si="207"/>
        <v>0</v>
      </c>
      <c r="Q596" s="55">
        <f t="shared" si="204"/>
        <v>15120.23</v>
      </c>
    </row>
    <row r="597" spans="1:17" ht="12.75">
      <c r="A597" s="11"/>
      <c r="B597" s="12"/>
      <c r="C597" s="13"/>
      <c r="D597" s="27"/>
      <c r="E597" s="10" t="s">
        <v>33</v>
      </c>
      <c r="F597" s="10">
        <v>9056.75</v>
      </c>
      <c r="G597" s="10"/>
      <c r="H597" s="17">
        <v>720</v>
      </c>
      <c r="I597" s="10"/>
      <c r="J597" s="10"/>
      <c r="K597" s="17">
        <v>271.37</v>
      </c>
      <c r="L597" s="10"/>
      <c r="M597" s="10"/>
      <c r="N597" s="10"/>
      <c r="O597" s="10"/>
      <c r="P597" s="10"/>
      <c r="Q597" s="29">
        <f t="shared" si="204"/>
        <v>10048.12</v>
      </c>
    </row>
    <row r="598" spans="1:17" ht="12.75">
      <c r="A598" s="11"/>
      <c r="B598" s="12"/>
      <c r="C598" s="13"/>
      <c r="D598" s="27"/>
      <c r="E598" s="10" t="s">
        <v>34</v>
      </c>
      <c r="F598" s="10">
        <v>3507.86</v>
      </c>
      <c r="G598" s="10"/>
      <c r="H598" s="17">
        <v>240</v>
      </c>
      <c r="I598" s="10"/>
      <c r="J598" s="10"/>
      <c r="K598" s="17">
        <v>154.91</v>
      </c>
      <c r="L598" s="10"/>
      <c r="M598" s="10"/>
      <c r="N598" s="10"/>
      <c r="O598" s="10"/>
      <c r="P598" s="10"/>
      <c r="Q598" s="29">
        <f t="shared" si="204"/>
        <v>3902.77</v>
      </c>
    </row>
    <row r="599" spans="1:17" ht="12.75">
      <c r="A599" s="11"/>
      <c r="B599" s="12"/>
      <c r="C599" s="13"/>
      <c r="D599" s="27"/>
      <c r="E599" s="10" t="s">
        <v>35</v>
      </c>
      <c r="F599" s="10">
        <v>5305.52</v>
      </c>
      <c r="G599" s="10"/>
      <c r="H599" s="18">
        <v>360</v>
      </c>
      <c r="I599" s="10"/>
      <c r="J599" s="18">
        <v>420</v>
      </c>
      <c r="K599" s="10"/>
      <c r="L599" s="10"/>
      <c r="M599" s="10"/>
      <c r="N599" s="10"/>
      <c r="O599" s="10"/>
      <c r="P599" s="10"/>
      <c r="Q599" s="29">
        <f t="shared" si="204"/>
        <v>6085.52</v>
      </c>
    </row>
    <row r="600" spans="1:17" ht="12">
      <c r="A600" s="11"/>
      <c r="B600" s="12"/>
      <c r="C600" s="13"/>
      <c r="D600" s="27"/>
      <c r="E600" s="14" t="s">
        <v>36</v>
      </c>
      <c r="F600" s="14">
        <f aca="true" t="shared" si="208" ref="F600:P600">SUM(F597:F599)</f>
        <v>17870.13</v>
      </c>
      <c r="G600" s="14">
        <f t="shared" si="208"/>
        <v>0</v>
      </c>
      <c r="H600" s="14">
        <f t="shared" si="208"/>
        <v>1320</v>
      </c>
      <c r="I600" s="14">
        <f t="shared" si="208"/>
        <v>0</v>
      </c>
      <c r="J600" s="14">
        <f t="shared" si="208"/>
        <v>420</v>
      </c>
      <c r="K600" s="14">
        <f t="shared" si="208"/>
        <v>426.28</v>
      </c>
      <c r="L600" s="14">
        <f t="shared" si="208"/>
        <v>0</v>
      </c>
      <c r="M600" s="14">
        <f t="shared" si="208"/>
        <v>0</v>
      </c>
      <c r="N600" s="14">
        <f t="shared" si="208"/>
        <v>0</v>
      </c>
      <c r="O600" s="14">
        <f t="shared" si="208"/>
        <v>0</v>
      </c>
      <c r="P600" s="14">
        <f t="shared" si="208"/>
        <v>0</v>
      </c>
      <c r="Q600" s="55">
        <f t="shared" si="204"/>
        <v>20036.41</v>
      </c>
    </row>
    <row r="601" spans="1:17" ht="12.75" thickBot="1">
      <c r="A601" s="11"/>
      <c r="B601" s="12"/>
      <c r="C601" s="13"/>
      <c r="D601" s="27"/>
      <c r="E601" s="22" t="s">
        <v>37</v>
      </c>
      <c r="F601" s="22">
        <f aca="true" t="shared" si="209" ref="F601:Q601">F588+F592+F596+F600</f>
        <v>56152.41</v>
      </c>
      <c r="G601" s="22">
        <f t="shared" si="209"/>
        <v>0</v>
      </c>
      <c r="H601" s="22">
        <f t="shared" si="209"/>
        <v>4320</v>
      </c>
      <c r="I601" s="22">
        <f t="shared" si="209"/>
        <v>0</v>
      </c>
      <c r="J601" s="22">
        <f t="shared" si="209"/>
        <v>1680</v>
      </c>
      <c r="K601" s="22">
        <f t="shared" si="209"/>
        <v>1202.21</v>
      </c>
      <c r="L601" s="22">
        <f t="shared" si="209"/>
        <v>0</v>
      </c>
      <c r="M601" s="22">
        <f t="shared" si="209"/>
        <v>0</v>
      </c>
      <c r="N601" s="22">
        <f t="shared" si="209"/>
        <v>0</v>
      </c>
      <c r="O601" s="22">
        <f t="shared" si="209"/>
        <v>0</v>
      </c>
      <c r="P601" s="35">
        <f t="shared" si="209"/>
        <v>0</v>
      </c>
      <c r="Q601" s="23">
        <f t="shared" si="209"/>
        <v>63354.619999999995</v>
      </c>
    </row>
    <row r="602" spans="1:17" ht="12">
      <c r="A602" s="11">
        <v>36</v>
      </c>
      <c r="B602" s="12">
        <v>51</v>
      </c>
      <c r="C602" s="13" t="s">
        <v>106</v>
      </c>
      <c r="D602" s="37" t="s">
        <v>107</v>
      </c>
      <c r="E602" s="10" t="s">
        <v>21</v>
      </c>
      <c r="F602" s="10">
        <v>7022.39</v>
      </c>
      <c r="G602" s="10"/>
      <c r="H602" s="10">
        <v>480</v>
      </c>
      <c r="I602" s="10"/>
      <c r="J602" s="10">
        <v>420</v>
      </c>
      <c r="K602" s="10">
        <v>249.63</v>
      </c>
      <c r="L602" s="10"/>
      <c r="M602" s="10"/>
      <c r="N602" s="10"/>
      <c r="O602" s="10"/>
      <c r="P602" s="10"/>
      <c r="Q602" s="29">
        <f aca="true" t="shared" si="210" ref="Q602:Q617">SUM(F602:P602)</f>
        <v>8172.02</v>
      </c>
    </row>
    <row r="603" spans="1:17" ht="12">
      <c r="A603" s="11"/>
      <c r="B603" s="12"/>
      <c r="C603" s="13"/>
      <c r="D603" s="27"/>
      <c r="E603" s="10" t="s">
        <v>22</v>
      </c>
      <c r="F603" s="10">
        <v>11866.86</v>
      </c>
      <c r="G603" s="10"/>
      <c r="H603" s="10">
        <v>840</v>
      </c>
      <c r="I603" s="10"/>
      <c r="J603" s="10"/>
      <c r="K603" s="10">
        <v>59.69</v>
      </c>
      <c r="L603" s="10"/>
      <c r="M603" s="10"/>
      <c r="N603" s="10"/>
      <c r="O603" s="10"/>
      <c r="P603" s="10"/>
      <c r="Q603" s="29">
        <f t="shared" si="210"/>
        <v>12766.550000000001</v>
      </c>
    </row>
    <row r="604" spans="1:17" ht="12">
      <c r="A604" s="11"/>
      <c r="B604" s="12"/>
      <c r="C604" s="13"/>
      <c r="D604" s="27"/>
      <c r="E604" s="10" t="s">
        <v>23</v>
      </c>
      <c r="F604" s="10">
        <v>4809.3</v>
      </c>
      <c r="G604" s="10"/>
      <c r="H604" s="10">
        <v>240</v>
      </c>
      <c r="I604" s="10"/>
      <c r="J604" s="10"/>
      <c r="K604" s="10"/>
      <c r="L604" s="10"/>
      <c r="M604" s="10"/>
      <c r="N604" s="10"/>
      <c r="O604" s="10"/>
      <c r="P604" s="10"/>
      <c r="Q604" s="29">
        <f t="shared" si="210"/>
        <v>5049.3</v>
      </c>
    </row>
    <row r="605" spans="1:17" ht="12">
      <c r="A605" s="11"/>
      <c r="B605" s="12"/>
      <c r="C605" s="13"/>
      <c r="D605" s="27"/>
      <c r="E605" s="14" t="s">
        <v>24</v>
      </c>
      <c r="F605" s="14">
        <f aca="true" t="shared" si="211" ref="F605:P605">SUM(F602:F604)</f>
        <v>23698.55</v>
      </c>
      <c r="G605" s="14">
        <f t="shared" si="211"/>
        <v>0</v>
      </c>
      <c r="H605" s="14">
        <f t="shared" si="211"/>
        <v>1560</v>
      </c>
      <c r="I605" s="14">
        <f t="shared" si="211"/>
        <v>0</v>
      </c>
      <c r="J605" s="14">
        <f t="shared" si="211"/>
        <v>420</v>
      </c>
      <c r="K605" s="14">
        <f t="shared" si="211"/>
        <v>309.32</v>
      </c>
      <c r="L605" s="14">
        <f t="shared" si="211"/>
        <v>0</v>
      </c>
      <c r="M605" s="14">
        <f t="shared" si="211"/>
        <v>0</v>
      </c>
      <c r="N605" s="14">
        <f t="shared" si="211"/>
        <v>0</v>
      </c>
      <c r="O605" s="14">
        <f t="shared" si="211"/>
        <v>0</v>
      </c>
      <c r="P605" s="14">
        <f t="shared" si="211"/>
        <v>0</v>
      </c>
      <c r="Q605" s="55">
        <f t="shared" si="210"/>
        <v>25987.87</v>
      </c>
    </row>
    <row r="606" spans="1:17" ht="12">
      <c r="A606" s="11"/>
      <c r="B606" s="12"/>
      <c r="C606" s="13"/>
      <c r="D606" s="27"/>
      <c r="E606" s="10" t="s">
        <v>25</v>
      </c>
      <c r="F606" s="10">
        <v>10198.65</v>
      </c>
      <c r="G606" s="10"/>
      <c r="H606" s="10">
        <v>240</v>
      </c>
      <c r="I606" s="10"/>
      <c r="J606" s="10"/>
      <c r="K606" s="10">
        <v>258.25</v>
      </c>
      <c r="L606" s="10"/>
      <c r="M606" s="10"/>
      <c r="N606" s="10"/>
      <c r="O606" s="10"/>
      <c r="P606" s="10"/>
      <c r="Q606" s="29">
        <f t="shared" si="210"/>
        <v>10696.9</v>
      </c>
    </row>
    <row r="607" spans="1:17" ht="12">
      <c r="A607" s="11"/>
      <c r="B607" s="12"/>
      <c r="C607" s="13"/>
      <c r="D607" s="27"/>
      <c r="E607" s="10" t="s">
        <v>26</v>
      </c>
      <c r="F607" s="10">
        <v>5355.69</v>
      </c>
      <c r="G607" s="10"/>
      <c r="H607" s="10">
        <v>360</v>
      </c>
      <c r="I607" s="10"/>
      <c r="J607" s="10"/>
      <c r="K607" s="10"/>
      <c r="L607" s="10"/>
      <c r="M607" s="10"/>
      <c r="N607" s="10"/>
      <c r="O607" s="10"/>
      <c r="P607" s="10"/>
      <c r="Q607" s="29">
        <f t="shared" si="210"/>
        <v>5715.69</v>
      </c>
    </row>
    <row r="608" spans="1:17" ht="12">
      <c r="A608" s="11"/>
      <c r="B608" s="12"/>
      <c r="C608" s="13"/>
      <c r="D608" s="27"/>
      <c r="E608" s="10" t="s">
        <v>27</v>
      </c>
      <c r="F608" s="10">
        <v>6636.07</v>
      </c>
      <c r="G608" s="10"/>
      <c r="H608" s="10">
        <v>480</v>
      </c>
      <c r="I608" s="10"/>
      <c r="J608" s="10"/>
      <c r="K608" s="10">
        <v>654.17</v>
      </c>
      <c r="L608" s="10"/>
      <c r="M608" s="10"/>
      <c r="N608" s="10"/>
      <c r="O608" s="10"/>
      <c r="P608" s="10"/>
      <c r="Q608" s="29">
        <f t="shared" si="210"/>
        <v>7770.24</v>
      </c>
    </row>
    <row r="609" spans="1:17" ht="12">
      <c r="A609" s="11"/>
      <c r="B609" s="12"/>
      <c r="C609" s="13"/>
      <c r="D609" s="27"/>
      <c r="E609" s="14" t="s">
        <v>28</v>
      </c>
      <c r="F609" s="14">
        <f aca="true" t="shared" si="212" ref="F609:P609">SUM(F606:F608)</f>
        <v>22190.41</v>
      </c>
      <c r="G609" s="14">
        <f t="shared" si="212"/>
        <v>0</v>
      </c>
      <c r="H609" s="14">
        <f t="shared" si="212"/>
        <v>1080</v>
      </c>
      <c r="I609" s="14">
        <f t="shared" si="212"/>
        <v>0</v>
      </c>
      <c r="J609" s="14">
        <f t="shared" si="212"/>
        <v>0</v>
      </c>
      <c r="K609" s="14">
        <f t="shared" si="212"/>
        <v>912.42</v>
      </c>
      <c r="L609" s="14">
        <f t="shared" si="212"/>
        <v>0</v>
      </c>
      <c r="M609" s="14">
        <f t="shared" si="212"/>
        <v>0</v>
      </c>
      <c r="N609" s="14">
        <f t="shared" si="212"/>
        <v>0</v>
      </c>
      <c r="O609" s="14">
        <f t="shared" si="212"/>
        <v>0</v>
      </c>
      <c r="P609" s="14">
        <f t="shared" si="212"/>
        <v>0</v>
      </c>
      <c r="Q609" s="55">
        <f t="shared" si="210"/>
        <v>24182.829999999998</v>
      </c>
    </row>
    <row r="610" spans="1:17" ht="12">
      <c r="A610" s="11"/>
      <c r="B610" s="12"/>
      <c r="C610" s="13"/>
      <c r="D610" s="27"/>
      <c r="E610" s="10" t="s">
        <v>29</v>
      </c>
      <c r="F610" s="16">
        <v>6308.82</v>
      </c>
      <c r="G610" s="10"/>
      <c r="H610" s="10"/>
      <c r="I610" s="10"/>
      <c r="J610" s="10"/>
      <c r="K610" s="16">
        <v>249.63</v>
      </c>
      <c r="L610" s="10"/>
      <c r="M610" s="10"/>
      <c r="N610" s="10"/>
      <c r="O610" s="10"/>
      <c r="P610" s="10"/>
      <c r="Q610" s="29">
        <f t="shared" si="210"/>
        <v>6558.45</v>
      </c>
    </row>
    <row r="611" spans="1:17" ht="12.75">
      <c r="A611" s="11"/>
      <c r="B611" s="12"/>
      <c r="C611" s="13"/>
      <c r="D611" s="27"/>
      <c r="E611" s="10" t="s">
        <v>30</v>
      </c>
      <c r="F611" s="10">
        <v>2316.05</v>
      </c>
      <c r="G611" s="10"/>
      <c r="H611" s="17">
        <v>120</v>
      </c>
      <c r="I611" s="10"/>
      <c r="J611" s="10"/>
      <c r="K611" s="10"/>
      <c r="L611" s="10"/>
      <c r="M611" s="10"/>
      <c r="N611" s="10"/>
      <c r="O611" s="10"/>
      <c r="P611" s="10"/>
      <c r="Q611" s="29">
        <f t="shared" si="210"/>
        <v>2436.05</v>
      </c>
    </row>
    <row r="612" spans="1:17" ht="12.75">
      <c r="A612" s="11"/>
      <c r="B612" s="12"/>
      <c r="C612" s="13"/>
      <c r="D612" s="27"/>
      <c r="E612" s="10" t="s">
        <v>31</v>
      </c>
      <c r="F612" s="10">
        <v>4720.6900000000005</v>
      </c>
      <c r="G612" s="10"/>
      <c r="H612" s="17">
        <v>240</v>
      </c>
      <c r="I612" s="10"/>
      <c r="J612" s="10"/>
      <c r="K612" s="17">
        <v>249.63</v>
      </c>
      <c r="L612" s="10"/>
      <c r="M612" s="10"/>
      <c r="N612" s="10"/>
      <c r="O612" s="10"/>
      <c r="P612" s="10"/>
      <c r="Q612" s="29">
        <f t="shared" si="210"/>
        <v>5210.320000000001</v>
      </c>
    </row>
    <row r="613" spans="1:17" ht="12">
      <c r="A613" s="11"/>
      <c r="B613" s="12"/>
      <c r="C613" s="13"/>
      <c r="D613" s="27"/>
      <c r="E613" s="14" t="s">
        <v>32</v>
      </c>
      <c r="F613" s="14">
        <f aca="true" t="shared" si="213" ref="F613:P613">SUM(F610:F612)</f>
        <v>13345.56</v>
      </c>
      <c r="G613" s="14">
        <f t="shared" si="213"/>
        <v>0</v>
      </c>
      <c r="H613" s="14">
        <f t="shared" si="213"/>
        <v>360</v>
      </c>
      <c r="I613" s="14">
        <f t="shared" si="213"/>
        <v>0</v>
      </c>
      <c r="J613" s="14">
        <f t="shared" si="213"/>
        <v>0</v>
      </c>
      <c r="K613" s="14">
        <f t="shared" si="213"/>
        <v>499.26</v>
      </c>
      <c r="L613" s="14">
        <f t="shared" si="213"/>
        <v>0</v>
      </c>
      <c r="M613" s="14">
        <f t="shared" si="213"/>
        <v>0</v>
      </c>
      <c r="N613" s="14">
        <f t="shared" si="213"/>
        <v>0</v>
      </c>
      <c r="O613" s="14">
        <f t="shared" si="213"/>
        <v>0</v>
      </c>
      <c r="P613" s="14">
        <f t="shared" si="213"/>
        <v>0</v>
      </c>
      <c r="Q613" s="55">
        <f t="shared" si="210"/>
        <v>14204.82</v>
      </c>
    </row>
    <row r="614" spans="1:17" ht="12.75">
      <c r="A614" s="11"/>
      <c r="B614" s="12"/>
      <c r="C614" s="13"/>
      <c r="D614" s="27"/>
      <c r="E614" s="10" t="s">
        <v>33</v>
      </c>
      <c r="F614" s="17">
        <v>3275.36</v>
      </c>
      <c r="G614" s="10"/>
      <c r="H614" s="10"/>
      <c r="I614" s="10"/>
      <c r="J614" s="10"/>
      <c r="K614" s="17"/>
      <c r="L614" s="10"/>
      <c r="M614" s="10"/>
      <c r="N614" s="10"/>
      <c r="O614" s="10"/>
      <c r="P614" s="17">
        <v>14853.26</v>
      </c>
      <c r="Q614" s="29">
        <f t="shared" si="210"/>
        <v>18128.62</v>
      </c>
    </row>
    <row r="615" spans="1:17" ht="12.75">
      <c r="A615" s="11"/>
      <c r="B615" s="12"/>
      <c r="C615" s="13"/>
      <c r="D615" s="27"/>
      <c r="E615" s="10" t="s">
        <v>34</v>
      </c>
      <c r="F615" s="10">
        <v>3436.78</v>
      </c>
      <c r="G615" s="10"/>
      <c r="H615" s="17">
        <v>120</v>
      </c>
      <c r="I615" s="10"/>
      <c r="J615" s="10"/>
      <c r="K615" s="17">
        <v>1060.3</v>
      </c>
      <c r="L615" s="10"/>
      <c r="M615" s="10"/>
      <c r="N615" s="10"/>
      <c r="O615" s="10"/>
      <c r="P615" s="17">
        <v>14853.26</v>
      </c>
      <c r="Q615" s="29">
        <f t="shared" si="210"/>
        <v>19470.34</v>
      </c>
    </row>
    <row r="616" spans="1:17" ht="12.75">
      <c r="A616" s="11"/>
      <c r="B616" s="12"/>
      <c r="C616" s="13"/>
      <c r="D616" s="27"/>
      <c r="E616" s="10" t="s">
        <v>35</v>
      </c>
      <c r="F616" s="10">
        <v>9940.49</v>
      </c>
      <c r="G616" s="10"/>
      <c r="H616" s="18">
        <v>960</v>
      </c>
      <c r="I616" s="10"/>
      <c r="J616" s="10"/>
      <c r="K616" s="10"/>
      <c r="L616" s="10"/>
      <c r="M616" s="10"/>
      <c r="N616" s="10"/>
      <c r="O616" s="10"/>
      <c r="P616" s="10"/>
      <c r="Q616" s="29">
        <f t="shared" si="210"/>
        <v>10900.49</v>
      </c>
    </row>
    <row r="617" spans="1:17" ht="12">
      <c r="A617" s="11"/>
      <c r="B617" s="12"/>
      <c r="C617" s="13"/>
      <c r="D617" s="27"/>
      <c r="E617" s="14" t="s">
        <v>36</v>
      </c>
      <c r="F617" s="14">
        <f aca="true" t="shared" si="214" ref="F617:P617">SUM(F614:F616)</f>
        <v>16652.63</v>
      </c>
      <c r="G617" s="14">
        <f t="shared" si="214"/>
        <v>0</v>
      </c>
      <c r="H617" s="14">
        <f t="shared" si="214"/>
        <v>1080</v>
      </c>
      <c r="I617" s="14">
        <f t="shared" si="214"/>
        <v>0</v>
      </c>
      <c r="J617" s="14">
        <f t="shared" si="214"/>
        <v>0</v>
      </c>
      <c r="K617" s="14">
        <f t="shared" si="214"/>
        <v>1060.3</v>
      </c>
      <c r="L617" s="14">
        <f t="shared" si="214"/>
        <v>0</v>
      </c>
      <c r="M617" s="14">
        <f t="shared" si="214"/>
        <v>0</v>
      </c>
      <c r="N617" s="14">
        <f t="shared" si="214"/>
        <v>0</v>
      </c>
      <c r="O617" s="14">
        <f t="shared" si="214"/>
        <v>0</v>
      </c>
      <c r="P617" s="14">
        <f t="shared" si="214"/>
        <v>29706.52</v>
      </c>
      <c r="Q617" s="55">
        <f t="shared" si="210"/>
        <v>48499.45</v>
      </c>
    </row>
    <row r="618" spans="1:17" ht="12.75" thickBot="1">
      <c r="A618" s="11"/>
      <c r="B618" s="12"/>
      <c r="C618" s="13"/>
      <c r="D618" s="27"/>
      <c r="E618" s="22" t="s">
        <v>37</v>
      </c>
      <c r="F618" s="22">
        <f aca="true" t="shared" si="215" ref="F618:Q618">F605+F609+F613+F617</f>
        <v>75887.15</v>
      </c>
      <c r="G618" s="22">
        <f t="shared" si="215"/>
        <v>0</v>
      </c>
      <c r="H618" s="22">
        <f t="shared" si="215"/>
        <v>4080</v>
      </c>
      <c r="I618" s="22">
        <f t="shared" si="215"/>
        <v>0</v>
      </c>
      <c r="J618" s="22">
        <f t="shared" si="215"/>
        <v>420</v>
      </c>
      <c r="K618" s="22">
        <f t="shared" si="215"/>
        <v>2781.3</v>
      </c>
      <c r="L618" s="22">
        <f t="shared" si="215"/>
        <v>0</v>
      </c>
      <c r="M618" s="22">
        <f t="shared" si="215"/>
        <v>0</v>
      </c>
      <c r="N618" s="22">
        <f t="shared" si="215"/>
        <v>0</v>
      </c>
      <c r="O618" s="22">
        <f t="shared" si="215"/>
        <v>0</v>
      </c>
      <c r="P618" s="35">
        <f t="shared" si="215"/>
        <v>29706.52</v>
      </c>
      <c r="Q618" s="23">
        <f t="shared" si="215"/>
        <v>112874.97</v>
      </c>
    </row>
    <row r="619" spans="1:17" ht="12">
      <c r="A619" s="11">
        <v>37</v>
      </c>
      <c r="B619" s="12">
        <v>66</v>
      </c>
      <c r="C619" s="13" t="s">
        <v>108</v>
      </c>
      <c r="D619" s="36" t="s">
        <v>109</v>
      </c>
      <c r="E619" s="10" t="s">
        <v>21</v>
      </c>
      <c r="F619" s="10">
        <v>2713.14</v>
      </c>
      <c r="G619" s="10"/>
      <c r="H619" s="10">
        <v>120</v>
      </c>
      <c r="I619" s="10"/>
      <c r="J619" s="10"/>
      <c r="K619" s="10"/>
      <c r="L619" s="10"/>
      <c r="M619" s="10"/>
      <c r="N619" s="10"/>
      <c r="O619" s="10"/>
      <c r="P619" s="10"/>
      <c r="Q619" s="29">
        <f aca="true" t="shared" si="216" ref="Q619:Q634">SUM(F619:P619)</f>
        <v>2833.14</v>
      </c>
    </row>
    <row r="620" spans="1:17" ht="12">
      <c r="A620" s="11"/>
      <c r="B620" s="12"/>
      <c r="C620" s="13"/>
      <c r="D620" s="27"/>
      <c r="E620" s="10" t="s">
        <v>22</v>
      </c>
      <c r="F620" s="10">
        <v>1244.68</v>
      </c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29">
        <f t="shared" si="216"/>
        <v>1244.68</v>
      </c>
    </row>
    <row r="621" spans="1:17" ht="12">
      <c r="A621" s="11"/>
      <c r="B621" s="12"/>
      <c r="C621" s="13"/>
      <c r="D621" s="27"/>
      <c r="E621" s="10" t="s">
        <v>23</v>
      </c>
      <c r="F621" s="10">
        <v>142.72</v>
      </c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29">
        <f t="shared" si="216"/>
        <v>142.72</v>
      </c>
    </row>
    <row r="622" spans="1:17" ht="12">
      <c r="A622" s="11"/>
      <c r="B622" s="12"/>
      <c r="C622" s="13"/>
      <c r="D622" s="27"/>
      <c r="E622" s="14" t="s">
        <v>24</v>
      </c>
      <c r="F622" s="14">
        <f aca="true" t="shared" si="217" ref="F622:P622">SUM(F619:F621)</f>
        <v>4100.54</v>
      </c>
      <c r="G622" s="14">
        <f t="shared" si="217"/>
        <v>0</v>
      </c>
      <c r="H622" s="14">
        <f t="shared" si="217"/>
        <v>120</v>
      </c>
      <c r="I622" s="14">
        <f t="shared" si="217"/>
        <v>0</v>
      </c>
      <c r="J622" s="14">
        <f t="shared" si="217"/>
        <v>0</v>
      </c>
      <c r="K622" s="14">
        <f t="shared" si="217"/>
        <v>0</v>
      </c>
      <c r="L622" s="14">
        <f t="shared" si="217"/>
        <v>0</v>
      </c>
      <c r="M622" s="14">
        <f t="shared" si="217"/>
        <v>0</v>
      </c>
      <c r="N622" s="14">
        <f t="shared" si="217"/>
        <v>0</v>
      </c>
      <c r="O622" s="14">
        <f t="shared" si="217"/>
        <v>0</v>
      </c>
      <c r="P622" s="14">
        <f t="shared" si="217"/>
        <v>0</v>
      </c>
      <c r="Q622" s="55">
        <f t="shared" si="216"/>
        <v>4220.54</v>
      </c>
    </row>
    <row r="623" spans="1:17" ht="12">
      <c r="A623" s="11"/>
      <c r="B623" s="12"/>
      <c r="C623" s="13"/>
      <c r="D623" s="27"/>
      <c r="E623" s="10" t="s">
        <v>25</v>
      </c>
      <c r="F623" s="10">
        <v>778.58</v>
      </c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29">
        <f t="shared" si="216"/>
        <v>778.58</v>
      </c>
    </row>
    <row r="624" spans="1:17" ht="12">
      <c r="A624" s="11"/>
      <c r="B624" s="12"/>
      <c r="C624" s="13"/>
      <c r="D624" s="27"/>
      <c r="E624" s="10" t="s">
        <v>26</v>
      </c>
      <c r="F624" s="10">
        <v>2587.38</v>
      </c>
      <c r="G624" s="10"/>
      <c r="H624" s="10">
        <v>120</v>
      </c>
      <c r="I624" s="10"/>
      <c r="J624" s="10"/>
      <c r="K624" s="10"/>
      <c r="L624" s="10"/>
      <c r="M624" s="10"/>
      <c r="N624" s="10"/>
      <c r="O624" s="10"/>
      <c r="P624" s="10"/>
      <c r="Q624" s="29">
        <f t="shared" si="216"/>
        <v>2707.38</v>
      </c>
    </row>
    <row r="625" spans="1:17" ht="12">
      <c r="A625" s="11"/>
      <c r="B625" s="12"/>
      <c r="C625" s="13"/>
      <c r="D625" s="27"/>
      <c r="E625" s="10" t="s">
        <v>27</v>
      </c>
      <c r="F625" s="10">
        <v>133.18</v>
      </c>
      <c r="G625" s="10"/>
      <c r="H625" s="10"/>
      <c r="I625" s="10"/>
      <c r="J625" s="10"/>
      <c r="K625" s="10">
        <v>133.35</v>
      </c>
      <c r="L625" s="10"/>
      <c r="M625" s="10"/>
      <c r="N625" s="10"/>
      <c r="O625" s="10"/>
      <c r="P625" s="10"/>
      <c r="Q625" s="29">
        <f t="shared" si="216"/>
        <v>266.53</v>
      </c>
    </row>
    <row r="626" spans="1:17" ht="12">
      <c r="A626" s="11"/>
      <c r="B626" s="12"/>
      <c r="C626" s="13"/>
      <c r="D626" s="27"/>
      <c r="E626" s="14" t="s">
        <v>28</v>
      </c>
      <c r="F626" s="14">
        <f aca="true" t="shared" si="218" ref="F626:P626">SUM(F623:F625)</f>
        <v>3499.14</v>
      </c>
      <c r="G626" s="14">
        <f t="shared" si="218"/>
        <v>0</v>
      </c>
      <c r="H626" s="14">
        <f t="shared" si="218"/>
        <v>120</v>
      </c>
      <c r="I626" s="14">
        <f t="shared" si="218"/>
        <v>0</v>
      </c>
      <c r="J626" s="14">
        <f t="shared" si="218"/>
        <v>0</v>
      </c>
      <c r="K626" s="14">
        <f t="shared" si="218"/>
        <v>133.35</v>
      </c>
      <c r="L626" s="14">
        <f t="shared" si="218"/>
        <v>0</v>
      </c>
      <c r="M626" s="14">
        <f t="shared" si="218"/>
        <v>0</v>
      </c>
      <c r="N626" s="14">
        <f t="shared" si="218"/>
        <v>0</v>
      </c>
      <c r="O626" s="14">
        <f t="shared" si="218"/>
        <v>0</v>
      </c>
      <c r="P626" s="14">
        <f t="shared" si="218"/>
        <v>0</v>
      </c>
      <c r="Q626" s="55">
        <f t="shared" si="216"/>
        <v>3752.49</v>
      </c>
    </row>
    <row r="627" spans="1:17" ht="12">
      <c r="A627" s="11"/>
      <c r="B627" s="12"/>
      <c r="C627" s="13"/>
      <c r="D627" s="27"/>
      <c r="E627" s="10" t="s">
        <v>29</v>
      </c>
      <c r="F627" s="10">
        <v>998.66</v>
      </c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29">
        <f t="shared" si="216"/>
        <v>998.66</v>
      </c>
    </row>
    <row r="628" spans="1:17" ht="12.75">
      <c r="A628" s="11"/>
      <c r="B628" s="12"/>
      <c r="C628" s="13"/>
      <c r="D628" s="27"/>
      <c r="E628" s="10" t="s">
        <v>30</v>
      </c>
      <c r="F628" s="17">
        <v>528.74</v>
      </c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29">
        <f t="shared" si="216"/>
        <v>528.74</v>
      </c>
    </row>
    <row r="629" spans="1:17" ht="12">
      <c r="A629" s="11"/>
      <c r="B629" s="12"/>
      <c r="C629" s="13"/>
      <c r="D629" s="27"/>
      <c r="E629" s="10" t="s">
        <v>31</v>
      </c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29">
        <f t="shared" si="216"/>
        <v>0</v>
      </c>
    </row>
    <row r="630" spans="1:17" ht="12">
      <c r="A630" s="11"/>
      <c r="B630" s="12"/>
      <c r="C630" s="13"/>
      <c r="D630" s="27"/>
      <c r="E630" s="14" t="s">
        <v>32</v>
      </c>
      <c r="F630" s="14">
        <f aca="true" t="shared" si="219" ref="F630:P630">SUM(F627:F629)</f>
        <v>1527.4</v>
      </c>
      <c r="G630" s="14">
        <f t="shared" si="219"/>
        <v>0</v>
      </c>
      <c r="H630" s="14">
        <f t="shared" si="219"/>
        <v>0</v>
      </c>
      <c r="I630" s="14">
        <f t="shared" si="219"/>
        <v>0</v>
      </c>
      <c r="J630" s="14">
        <f t="shared" si="219"/>
        <v>0</v>
      </c>
      <c r="K630" s="14">
        <f t="shared" si="219"/>
        <v>0</v>
      </c>
      <c r="L630" s="14">
        <f t="shared" si="219"/>
        <v>0</v>
      </c>
      <c r="M630" s="14">
        <f t="shared" si="219"/>
        <v>0</v>
      </c>
      <c r="N630" s="14">
        <f t="shared" si="219"/>
        <v>0</v>
      </c>
      <c r="O630" s="14">
        <f t="shared" si="219"/>
        <v>0</v>
      </c>
      <c r="P630" s="14">
        <f t="shared" si="219"/>
        <v>0</v>
      </c>
      <c r="Q630" s="55">
        <f t="shared" si="216"/>
        <v>1527.4</v>
      </c>
    </row>
    <row r="631" spans="1:17" ht="12">
      <c r="A631" s="11"/>
      <c r="B631" s="12"/>
      <c r="C631" s="13"/>
      <c r="D631" s="27"/>
      <c r="E631" s="10" t="s">
        <v>33</v>
      </c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29">
        <f t="shared" si="216"/>
        <v>0</v>
      </c>
    </row>
    <row r="632" spans="1:17" ht="12">
      <c r="A632" s="11"/>
      <c r="B632" s="12"/>
      <c r="C632" s="13"/>
      <c r="D632" s="27"/>
      <c r="E632" s="10" t="s">
        <v>34</v>
      </c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29">
        <f t="shared" si="216"/>
        <v>0</v>
      </c>
    </row>
    <row r="633" spans="1:17" ht="12">
      <c r="A633" s="11"/>
      <c r="B633" s="12"/>
      <c r="C633" s="13"/>
      <c r="D633" s="27"/>
      <c r="E633" s="10" t="s">
        <v>35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29">
        <f t="shared" si="216"/>
        <v>0</v>
      </c>
    </row>
    <row r="634" spans="1:17" ht="12">
      <c r="A634" s="11"/>
      <c r="B634" s="12"/>
      <c r="C634" s="13"/>
      <c r="D634" s="27"/>
      <c r="E634" s="14" t="s">
        <v>36</v>
      </c>
      <c r="F634" s="14">
        <f aca="true" t="shared" si="220" ref="F634:P634">SUM(F631:F633)</f>
        <v>0</v>
      </c>
      <c r="G634" s="14">
        <f t="shared" si="220"/>
        <v>0</v>
      </c>
      <c r="H634" s="14">
        <f t="shared" si="220"/>
        <v>0</v>
      </c>
      <c r="I634" s="14">
        <f t="shared" si="220"/>
        <v>0</v>
      </c>
      <c r="J634" s="14">
        <f t="shared" si="220"/>
        <v>0</v>
      </c>
      <c r="K634" s="14">
        <f t="shared" si="220"/>
        <v>0</v>
      </c>
      <c r="L634" s="14">
        <f t="shared" si="220"/>
        <v>0</v>
      </c>
      <c r="M634" s="14">
        <f t="shared" si="220"/>
        <v>0</v>
      </c>
      <c r="N634" s="14">
        <f t="shared" si="220"/>
        <v>0</v>
      </c>
      <c r="O634" s="14">
        <f t="shared" si="220"/>
        <v>0</v>
      </c>
      <c r="P634" s="14">
        <f t="shared" si="220"/>
        <v>0</v>
      </c>
      <c r="Q634" s="55">
        <f t="shared" si="216"/>
        <v>0</v>
      </c>
    </row>
    <row r="635" spans="1:17" ht="12.75" thickBot="1">
      <c r="A635" s="11"/>
      <c r="B635" s="12"/>
      <c r="C635" s="13"/>
      <c r="D635" s="27"/>
      <c r="E635" s="22" t="s">
        <v>37</v>
      </c>
      <c r="F635" s="22">
        <f aca="true" t="shared" si="221" ref="F635:Q635">F622+F626+F630+F634</f>
        <v>9127.08</v>
      </c>
      <c r="G635" s="22">
        <f t="shared" si="221"/>
        <v>0</v>
      </c>
      <c r="H635" s="22">
        <f t="shared" si="221"/>
        <v>240</v>
      </c>
      <c r="I635" s="22">
        <f t="shared" si="221"/>
        <v>0</v>
      </c>
      <c r="J635" s="22">
        <f t="shared" si="221"/>
        <v>0</v>
      </c>
      <c r="K635" s="22">
        <f t="shared" si="221"/>
        <v>133.35</v>
      </c>
      <c r="L635" s="22">
        <f t="shared" si="221"/>
        <v>0</v>
      </c>
      <c r="M635" s="22">
        <f t="shared" si="221"/>
        <v>0</v>
      </c>
      <c r="N635" s="22">
        <f t="shared" si="221"/>
        <v>0</v>
      </c>
      <c r="O635" s="22">
        <f t="shared" si="221"/>
        <v>0</v>
      </c>
      <c r="P635" s="35">
        <f t="shared" si="221"/>
        <v>0</v>
      </c>
      <c r="Q635" s="23">
        <f t="shared" si="221"/>
        <v>9500.43</v>
      </c>
    </row>
    <row r="636" spans="1:17" ht="12">
      <c r="A636" s="11">
        <v>38</v>
      </c>
      <c r="B636" s="12">
        <v>61</v>
      </c>
      <c r="C636" s="13" t="s">
        <v>110</v>
      </c>
      <c r="D636" s="27" t="s">
        <v>111</v>
      </c>
      <c r="E636" s="10" t="s">
        <v>21</v>
      </c>
      <c r="F636" s="10">
        <v>1178.97</v>
      </c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29">
        <f aca="true" t="shared" si="222" ref="Q636:Q651">SUM(F636:P636)</f>
        <v>1178.97</v>
      </c>
    </row>
    <row r="637" spans="1:17" ht="12">
      <c r="A637" s="11"/>
      <c r="B637" s="12"/>
      <c r="C637" s="13"/>
      <c r="D637" s="27"/>
      <c r="E637" s="10" t="s">
        <v>22</v>
      </c>
      <c r="F637" s="10">
        <v>1565.41</v>
      </c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29">
        <f t="shared" si="222"/>
        <v>1565.41</v>
      </c>
    </row>
    <row r="638" spans="1:17" ht="12">
      <c r="A638" s="11"/>
      <c r="B638" s="12"/>
      <c r="C638" s="13"/>
      <c r="D638" s="27"/>
      <c r="E638" s="10" t="s">
        <v>23</v>
      </c>
      <c r="F638" s="10">
        <v>2619.08</v>
      </c>
      <c r="G638" s="10"/>
      <c r="H638" s="10">
        <v>120</v>
      </c>
      <c r="I638" s="10"/>
      <c r="J638" s="10"/>
      <c r="K638" s="10"/>
      <c r="L638" s="10"/>
      <c r="M638" s="10"/>
      <c r="N638" s="10"/>
      <c r="O638" s="10"/>
      <c r="P638" s="10"/>
      <c r="Q638" s="29">
        <f t="shared" si="222"/>
        <v>2739.08</v>
      </c>
    </row>
    <row r="639" spans="1:17" ht="12">
      <c r="A639" s="11"/>
      <c r="B639" s="12"/>
      <c r="C639" s="13"/>
      <c r="D639" s="27"/>
      <c r="E639" s="14" t="s">
        <v>24</v>
      </c>
      <c r="F639" s="14">
        <f aca="true" t="shared" si="223" ref="F639:P639">SUM(F636:F638)</f>
        <v>5363.46</v>
      </c>
      <c r="G639" s="14">
        <f t="shared" si="223"/>
        <v>0</v>
      </c>
      <c r="H639" s="14">
        <f t="shared" si="223"/>
        <v>120</v>
      </c>
      <c r="I639" s="14">
        <f t="shared" si="223"/>
        <v>0</v>
      </c>
      <c r="J639" s="14">
        <f t="shared" si="223"/>
        <v>0</v>
      </c>
      <c r="K639" s="14">
        <f t="shared" si="223"/>
        <v>0</v>
      </c>
      <c r="L639" s="14">
        <f t="shared" si="223"/>
        <v>0</v>
      </c>
      <c r="M639" s="14">
        <f t="shared" si="223"/>
        <v>0</v>
      </c>
      <c r="N639" s="14">
        <f t="shared" si="223"/>
        <v>0</v>
      </c>
      <c r="O639" s="14">
        <f t="shared" si="223"/>
        <v>0</v>
      </c>
      <c r="P639" s="14">
        <f t="shared" si="223"/>
        <v>0</v>
      </c>
      <c r="Q639" s="55">
        <f t="shared" si="222"/>
        <v>5483.46</v>
      </c>
    </row>
    <row r="640" spans="1:17" ht="12">
      <c r="A640" s="11"/>
      <c r="B640" s="12"/>
      <c r="C640" s="13"/>
      <c r="D640" s="27"/>
      <c r="E640" s="10" t="s">
        <v>25</v>
      </c>
      <c r="F640" s="10">
        <v>1306.4</v>
      </c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29">
        <f t="shared" si="222"/>
        <v>1306.4</v>
      </c>
    </row>
    <row r="641" spans="1:17" ht="12">
      <c r="A641" s="11"/>
      <c r="B641" s="12"/>
      <c r="C641" s="13"/>
      <c r="D641" s="27"/>
      <c r="E641" s="10" t="s">
        <v>26</v>
      </c>
      <c r="F641" s="10">
        <v>1478.15</v>
      </c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29">
        <f t="shared" si="222"/>
        <v>1478.15</v>
      </c>
    </row>
    <row r="642" spans="1:17" ht="12">
      <c r="A642" s="11"/>
      <c r="B642" s="12"/>
      <c r="C642" s="13"/>
      <c r="D642" s="27"/>
      <c r="E642" s="10" t="s">
        <v>27</v>
      </c>
      <c r="F642" s="10">
        <v>673.07</v>
      </c>
      <c r="G642" s="10"/>
      <c r="H642" s="10"/>
      <c r="I642" s="10"/>
      <c r="J642" s="10"/>
      <c r="K642" s="10"/>
      <c r="L642" s="10"/>
      <c r="M642" s="10"/>
      <c r="N642" s="10"/>
      <c r="O642" s="10">
        <v>1301.65</v>
      </c>
      <c r="P642" s="10"/>
      <c r="Q642" s="29">
        <f t="shared" si="222"/>
        <v>1974.7200000000003</v>
      </c>
    </row>
    <row r="643" spans="1:17" ht="12">
      <c r="A643" s="11"/>
      <c r="B643" s="12"/>
      <c r="C643" s="13"/>
      <c r="D643" s="27"/>
      <c r="E643" s="14" t="s">
        <v>28</v>
      </c>
      <c r="F643" s="14">
        <f aca="true" t="shared" si="224" ref="F643:P643">SUM(F640:F642)</f>
        <v>3457.6200000000003</v>
      </c>
      <c r="G643" s="14">
        <f t="shared" si="224"/>
        <v>0</v>
      </c>
      <c r="H643" s="14">
        <f t="shared" si="224"/>
        <v>0</v>
      </c>
      <c r="I643" s="14">
        <f t="shared" si="224"/>
        <v>0</v>
      </c>
      <c r="J643" s="14">
        <f t="shared" si="224"/>
        <v>0</v>
      </c>
      <c r="K643" s="14">
        <f t="shared" si="224"/>
        <v>0</v>
      </c>
      <c r="L643" s="14">
        <f t="shared" si="224"/>
        <v>0</v>
      </c>
      <c r="M643" s="14">
        <f t="shared" si="224"/>
        <v>0</v>
      </c>
      <c r="N643" s="14">
        <f t="shared" si="224"/>
        <v>0</v>
      </c>
      <c r="O643" s="14">
        <f t="shared" si="224"/>
        <v>1301.65</v>
      </c>
      <c r="P643" s="14">
        <f t="shared" si="224"/>
        <v>0</v>
      </c>
      <c r="Q643" s="55">
        <f t="shared" si="222"/>
        <v>4759.27</v>
      </c>
    </row>
    <row r="644" spans="1:17" ht="12">
      <c r="A644" s="11"/>
      <c r="B644" s="12"/>
      <c r="C644" s="13"/>
      <c r="D644" s="27"/>
      <c r="E644" s="10" t="s">
        <v>29</v>
      </c>
      <c r="F644" s="16">
        <v>1560.32</v>
      </c>
      <c r="G644" s="10"/>
      <c r="H644" s="10"/>
      <c r="I644" s="10"/>
      <c r="J644" s="10"/>
      <c r="K644" s="16">
        <v>154.91</v>
      </c>
      <c r="L644" s="10"/>
      <c r="M644" s="10"/>
      <c r="N644" s="10"/>
      <c r="O644" s="10"/>
      <c r="P644" s="10"/>
      <c r="Q644" s="29">
        <f t="shared" si="222"/>
        <v>1715.23</v>
      </c>
    </row>
    <row r="645" spans="1:17" ht="12.75">
      <c r="A645" s="11"/>
      <c r="B645" s="12"/>
      <c r="C645" s="13"/>
      <c r="D645" s="27"/>
      <c r="E645" s="10" t="s">
        <v>30</v>
      </c>
      <c r="F645" s="17">
        <v>686.91</v>
      </c>
      <c r="G645" s="10"/>
      <c r="H645" s="10"/>
      <c r="I645" s="10"/>
      <c r="J645" s="10"/>
      <c r="K645" s="10"/>
      <c r="L645" s="10"/>
      <c r="M645" s="10"/>
      <c r="N645" s="10"/>
      <c r="O645" s="17">
        <v>1301.65</v>
      </c>
      <c r="P645" s="10"/>
      <c r="Q645" s="29">
        <f t="shared" si="222"/>
        <v>1988.56</v>
      </c>
    </row>
    <row r="646" spans="1:17" ht="12.75">
      <c r="A646" s="11"/>
      <c r="B646" s="12"/>
      <c r="C646" s="13"/>
      <c r="D646" s="27"/>
      <c r="E646" s="10" t="s">
        <v>31</v>
      </c>
      <c r="F646" s="17">
        <v>705.59</v>
      </c>
      <c r="G646" s="10"/>
      <c r="H646" s="10"/>
      <c r="I646" s="10"/>
      <c r="J646" s="10"/>
      <c r="K646" s="17">
        <v>133.35</v>
      </c>
      <c r="L646" s="10"/>
      <c r="M646" s="10"/>
      <c r="N646" s="10"/>
      <c r="O646" s="17">
        <v>2603.32</v>
      </c>
      <c r="P646" s="10"/>
      <c r="Q646" s="29">
        <f t="shared" si="222"/>
        <v>3442.26</v>
      </c>
    </row>
    <row r="647" spans="1:17" ht="12">
      <c r="A647" s="11"/>
      <c r="B647" s="12"/>
      <c r="C647" s="13"/>
      <c r="D647" s="27"/>
      <c r="E647" s="14" t="s">
        <v>32</v>
      </c>
      <c r="F647" s="14">
        <f aca="true" t="shared" si="225" ref="F647:P647">SUM(F644:F646)</f>
        <v>2952.82</v>
      </c>
      <c r="G647" s="14">
        <f t="shared" si="225"/>
        <v>0</v>
      </c>
      <c r="H647" s="14">
        <f t="shared" si="225"/>
        <v>0</v>
      </c>
      <c r="I647" s="14">
        <f t="shared" si="225"/>
        <v>0</v>
      </c>
      <c r="J647" s="14">
        <f t="shared" si="225"/>
        <v>0</v>
      </c>
      <c r="K647" s="14">
        <f t="shared" si="225"/>
        <v>288.26</v>
      </c>
      <c r="L647" s="14">
        <f t="shared" si="225"/>
        <v>0</v>
      </c>
      <c r="M647" s="14">
        <f t="shared" si="225"/>
        <v>0</v>
      </c>
      <c r="N647" s="14">
        <f t="shared" si="225"/>
        <v>0</v>
      </c>
      <c r="O647" s="14">
        <f t="shared" si="225"/>
        <v>3904.9700000000003</v>
      </c>
      <c r="P647" s="14">
        <f t="shared" si="225"/>
        <v>0</v>
      </c>
      <c r="Q647" s="55">
        <f t="shared" si="222"/>
        <v>7146.05</v>
      </c>
    </row>
    <row r="648" spans="1:17" ht="12.75">
      <c r="A648" s="11"/>
      <c r="B648" s="12"/>
      <c r="C648" s="13"/>
      <c r="D648" s="27"/>
      <c r="E648" s="10" t="s">
        <v>33</v>
      </c>
      <c r="F648" s="17">
        <v>2392.55</v>
      </c>
      <c r="G648" s="10"/>
      <c r="H648" s="10"/>
      <c r="I648" s="10"/>
      <c r="J648" s="10"/>
      <c r="K648" s="10"/>
      <c r="L648" s="10"/>
      <c r="M648" s="10"/>
      <c r="N648" s="10"/>
      <c r="O648" s="17">
        <v>1301.65</v>
      </c>
      <c r="P648" s="10"/>
      <c r="Q648" s="29">
        <f t="shared" si="222"/>
        <v>3694.2000000000003</v>
      </c>
    </row>
    <row r="649" spans="1:17" ht="12.75">
      <c r="A649" s="11"/>
      <c r="B649" s="12"/>
      <c r="C649" s="13"/>
      <c r="D649" s="27"/>
      <c r="E649" s="10" t="s">
        <v>34</v>
      </c>
      <c r="F649" s="17">
        <v>634.66</v>
      </c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29">
        <f t="shared" si="222"/>
        <v>634.66</v>
      </c>
    </row>
    <row r="650" spans="1:17" ht="12.75">
      <c r="A650" s="11"/>
      <c r="B650" s="12"/>
      <c r="C650" s="13"/>
      <c r="D650" s="27"/>
      <c r="E650" s="10" t="s">
        <v>35</v>
      </c>
      <c r="F650" s="18">
        <v>569.43</v>
      </c>
      <c r="G650" s="10"/>
      <c r="H650" s="10"/>
      <c r="I650" s="10"/>
      <c r="J650" s="10"/>
      <c r="K650" s="10"/>
      <c r="L650" s="10"/>
      <c r="M650" s="10"/>
      <c r="N650" s="10"/>
      <c r="O650" s="18">
        <v>3904.97</v>
      </c>
      <c r="P650" s="10"/>
      <c r="Q650" s="29">
        <f t="shared" si="222"/>
        <v>4474.4</v>
      </c>
    </row>
    <row r="651" spans="1:17" ht="12">
      <c r="A651" s="11"/>
      <c r="B651" s="12"/>
      <c r="C651" s="13"/>
      <c r="D651" s="27"/>
      <c r="E651" s="14" t="s">
        <v>36</v>
      </c>
      <c r="F651" s="14">
        <f aca="true" t="shared" si="226" ref="F651:P651">SUM(F648:F650)</f>
        <v>3596.64</v>
      </c>
      <c r="G651" s="14">
        <f t="shared" si="226"/>
        <v>0</v>
      </c>
      <c r="H651" s="14">
        <f t="shared" si="226"/>
        <v>0</v>
      </c>
      <c r="I651" s="14">
        <f t="shared" si="226"/>
        <v>0</v>
      </c>
      <c r="J651" s="14">
        <f t="shared" si="226"/>
        <v>0</v>
      </c>
      <c r="K651" s="14">
        <f t="shared" si="226"/>
        <v>0</v>
      </c>
      <c r="L651" s="14">
        <f t="shared" si="226"/>
        <v>0</v>
      </c>
      <c r="M651" s="14">
        <f t="shared" si="226"/>
        <v>0</v>
      </c>
      <c r="N651" s="14">
        <f t="shared" si="226"/>
        <v>0</v>
      </c>
      <c r="O651" s="14">
        <f t="shared" si="226"/>
        <v>5206.62</v>
      </c>
      <c r="P651" s="14">
        <f t="shared" si="226"/>
        <v>0</v>
      </c>
      <c r="Q651" s="55">
        <f t="shared" si="222"/>
        <v>8803.26</v>
      </c>
    </row>
    <row r="652" spans="1:17" ht="12.75" thickBot="1">
      <c r="A652" s="11"/>
      <c r="B652" s="12"/>
      <c r="C652" s="13"/>
      <c r="D652" s="27"/>
      <c r="E652" s="22" t="s">
        <v>37</v>
      </c>
      <c r="F652" s="22">
        <f aca="true" t="shared" si="227" ref="F652:Q652">F639+F643+F647+F651</f>
        <v>15370.539999999999</v>
      </c>
      <c r="G652" s="22">
        <f t="shared" si="227"/>
        <v>0</v>
      </c>
      <c r="H652" s="22">
        <f t="shared" si="227"/>
        <v>120</v>
      </c>
      <c r="I652" s="22">
        <f t="shared" si="227"/>
        <v>0</v>
      </c>
      <c r="J652" s="22">
        <f t="shared" si="227"/>
        <v>0</v>
      </c>
      <c r="K652" s="22">
        <f t="shared" si="227"/>
        <v>288.26</v>
      </c>
      <c r="L652" s="22">
        <f t="shared" si="227"/>
        <v>0</v>
      </c>
      <c r="M652" s="22">
        <f t="shared" si="227"/>
        <v>0</v>
      </c>
      <c r="N652" s="22">
        <f t="shared" si="227"/>
        <v>0</v>
      </c>
      <c r="O652" s="22">
        <f t="shared" si="227"/>
        <v>10413.240000000002</v>
      </c>
      <c r="P652" s="35">
        <f t="shared" si="227"/>
        <v>0</v>
      </c>
      <c r="Q652" s="23">
        <f t="shared" si="227"/>
        <v>26192.04</v>
      </c>
    </row>
    <row r="653" spans="1:17" ht="12">
      <c r="A653" s="11">
        <v>39</v>
      </c>
      <c r="B653" s="12">
        <v>82</v>
      </c>
      <c r="C653" s="13" t="s">
        <v>112</v>
      </c>
      <c r="D653" s="27" t="s">
        <v>113</v>
      </c>
      <c r="E653" s="10" t="s">
        <v>21</v>
      </c>
      <c r="F653" s="10">
        <v>2252.42</v>
      </c>
      <c r="G653" s="10"/>
      <c r="H653" s="10"/>
      <c r="I653" s="10"/>
      <c r="J653" s="10"/>
      <c r="K653" s="10">
        <v>7510.04</v>
      </c>
      <c r="L653" s="10"/>
      <c r="M653" s="10"/>
      <c r="N653" s="10"/>
      <c r="O653" s="10"/>
      <c r="P653" s="10"/>
      <c r="Q653" s="29">
        <f aca="true" t="shared" si="228" ref="Q653:Q668">SUM(F653:P653)</f>
        <v>9762.46</v>
      </c>
    </row>
    <row r="654" spans="1:17" ht="12">
      <c r="A654" s="11"/>
      <c r="B654" s="12"/>
      <c r="C654" s="13"/>
      <c r="D654" s="27"/>
      <c r="E654" s="10" t="s">
        <v>22</v>
      </c>
      <c r="F654" s="10">
        <v>4106.02</v>
      </c>
      <c r="G654" s="10"/>
      <c r="H654" s="10"/>
      <c r="I654" s="10"/>
      <c r="J654" s="10"/>
      <c r="K654" s="10">
        <v>6409.39</v>
      </c>
      <c r="L654" s="10"/>
      <c r="M654" s="10"/>
      <c r="N654" s="10"/>
      <c r="O654" s="10"/>
      <c r="P654" s="10"/>
      <c r="Q654" s="29">
        <f t="shared" si="228"/>
        <v>10515.41</v>
      </c>
    </row>
    <row r="655" spans="1:17" ht="12">
      <c r="A655" s="11"/>
      <c r="B655" s="12"/>
      <c r="C655" s="13"/>
      <c r="D655" s="27"/>
      <c r="E655" s="10" t="s">
        <v>23</v>
      </c>
      <c r="F655" s="10">
        <v>2793.27</v>
      </c>
      <c r="G655" s="10"/>
      <c r="H655" s="10"/>
      <c r="I655" s="10"/>
      <c r="J655" s="10"/>
      <c r="K655" s="10">
        <v>9168.82</v>
      </c>
      <c r="L655" s="10"/>
      <c r="M655" s="10"/>
      <c r="N655" s="10"/>
      <c r="O655" s="10"/>
      <c r="P655" s="10"/>
      <c r="Q655" s="29">
        <f t="shared" si="228"/>
        <v>11962.09</v>
      </c>
    </row>
    <row r="656" spans="1:17" ht="12">
      <c r="A656" s="11"/>
      <c r="B656" s="12"/>
      <c r="C656" s="13"/>
      <c r="D656" s="27"/>
      <c r="E656" s="14" t="s">
        <v>24</v>
      </c>
      <c r="F656" s="14">
        <f aca="true" t="shared" si="229" ref="F656:P656">SUM(F653:F655)</f>
        <v>9151.710000000001</v>
      </c>
      <c r="G656" s="14">
        <f t="shared" si="229"/>
        <v>0</v>
      </c>
      <c r="H656" s="14">
        <f t="shared" si="229"/>
        <v>0</v>
      </c>
      <c r="I656" s="14">
        <f t="shared" si="229"/>
        <v>0</v>
      </c>
      <c r="J656" s="14">
        <f t="shared" si="229"/>
        <v>0</v>
      </c>
      <c r="K656" s="14">
        <f t="shared" si="229"/>
        <v>23088.25</v>
      </c>
      <c r="L656" s="14">
        <f t="shared" si="229"/>
        <v>0</v>
      </c>
      <c r="M656" s="14">
        <f t="shared" si="229"/>
        <v>0</v>
      </c>
      <c r="N656" s="14">
        <f t="shared" si="229"/>
        <v>0</v>
      </c>
      <c r="O656" s="14">
        <f t="shared" si="229"/>
        <v>0</v>
      </c>
      <c r="P656" s="14">
        <f t="shared" si="229"/>
        <v>0</v>
      </c>
      <c r="Q656" s="55">
        <f t="shared" si="228"/>
        <v>32239.96</v>
      </c>
    </row>
    <row r="657" spans="1:17" ht="12">
      <c r="A657" s="11"/>
      <c r="B657" s="12"/>
      <c r="C657" s="13"/>
      <c r="D657" s="27"/>
      <c r="E657" s="10" t="s">
        <v>25</v>
      </c>
      <c r="F657" s="10">
        <v>3804.65</v>
      </c>
      <c r="G657" s="10"/>
      <c r="H657" s="10"/>
      <c r="I657" s="10"/>
      <c r="J657" s="10"/>
      <c r="K657" s="10">
        <v>6773.36</v>
      </c>
      <c r="L657" s="10"/>
      <c r="M657" s="10"/>
      <c r="N657" s="10"/>
      <c r="O657" s="10"/>
      <c r="P657" s="10"/>
      <c r="Q657" s="29">
        <f t="shared" si="228"/>
        <v>10578.01</v>
      </c>
    </row>
    <row r="658" spans="1:17" ht="12">
      <c r="A658" s="11"/>
      <c r="B658" s="12"/>
      <c r="C658" s="13"/>
      <c r="D658" s="27"/>
      <c r="E658" s="10" t="s">
        <v>26</v>
      </c>
      <c r="F658" s="10">
        <v>3673.22</v>
      </c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29">
        <f t="shared" si="228"/>
        <v>3673.22</v>
      </c>
    </row>
    <row r="659" spans="1:17" ht="12">
      <c r="A659" s="11"/>
      <c r="B659" s="12"/>
      <c r="C659" s="13"/>
      <c r="D659" s="27"/>
      <c r="E659" s="10" t="s">
        <v>27</v>
      </c>
      <c r="F659" s="10">
        <v>3691.4</v>
      </c>
      <c r="G659" s="10"/>
      <c r="H659" s="10"/>
      <c r="I659" s="10"/>
      <c r="J659" s="10"/>
      <c r="K659" s="10">
        <v>6512.82</v>
      </c>
      <c r="L659" s="10"/>
      <c r="M659" s="10"/>
      <c r="N659" s="10"/>
      <c r="O659" s="10"/>
      <c r="P659" s="10"/>
      <c r="Q659" s="29">
        <f t="shared" si="228"/>
        <v>10204.22</v>
      </c>
    </row>
    <row r="660" spans="1:17" ht="12">
      <c r="A660" s="11"/>
      <c r="B660" s="12"/>
      <c r="C660" s="13"/>
      <c r="D660" s="27"/>
      <c r="E660" s="14" t="s">
        <v>28</v>
      </c>
      <c r="F660" s="14">
        <f aca="true" t="shared" si="230" ref="F660:P660">SUM(F657:F659)</f>
        <v>11169.27</v>
      </c>
      <c r="G660" s="14">
        <f t="shared" si="230"/>
        <v>0</v>
      </c>
      <c r="H660" s="14">
        <f t="shared" si="230"/>
        <v>0</v>
      </c>
      <c r="I660" s="14">
        <f t="shared" si="230"/>
        <v>0</v>
      </c>
      <c r="J660" s="14">
        <f t="shared" si="230"/>
        <v>0</v>
      </c>
      <c r="K660" s="14">
        <f t="shared" si="230"/>
        <v>13286.18</v>
      </c>
      <c r="L660" s="14">
        <f t="shared" si="230"/>
        <v>0</v>
      </c>
      <c r="M660" s="14">
        <f t="shared" si="230"/>
        <v>0</v>
      </c>
      <c r="N660" s="14">
        <f t="shared" si="230"/>
        <v>0</v>
      </c>
      <c r="O660" s="14">
        <f t="shared" si="230"/>
        <v>0</v>
      </c>
      <c r="P660" s="14">
        <f t="shared" si="230"/>
        <v>0</v>
      </c>
      <c r="Q660" s="55">
        <f t="shared" si="228"/>
        <v>24455.45</v>
      </c>
    </row>
    <row r="661" spans="1:17" ht="12">
      <c r="A661" s="11"/>
      <c r="B661" s="12"/>
      <c r="C661" s="13"/>
      <c r="D661" s="27"/>
      <c r="E661" s="10" t="s">
        <v>29</v>
      </c>
      <c r="F661" s="10">
        <v>2937.12</v>
      </c>
      <c r="G661" s="10"/>
      <c r="H661" s="10"/>
      <c r="I661" s="10"/>
      <c r="J661" s="10"/>
      <c r="K661" s="16">
        <v>6805.34</v>
      </c>
      <c r="L661" s="10"/>
      <c r="M661" s="10"/>
      <c r="N661" s="10"/>
      <c r="O661" s="10"/>
      <c r="P661" s="10"/>
      <c r="Q661" s="29">
        <f t="shared" si="228"/>
        <v>9742.46</v>
      </c>
    </row>
    <row r="662" spans="1:17" ht="12.75">
      <c r="A662" s="11"/>
      <c r="B662" s="12"/>
      <c r="C662" s="13"/>
      <c r="D662" s="27"/>
      <c r="E662" s="10" t="s">
        <v>30</v>
      </c>
      <c r="F662" s="10">
        <v>3596.19</v>
      </c>
      <c r="G662" s="10"/>
      <c r="H662" s="10"/>
      <c r="I662" s="10"/>
      <c r="J662" s="10"/>
      <c r="K662" s="17">
        <v>6851.85</v>
      </c>
      <c r="L662" s="10"/>
      <c r="M662" s="10"/>
      <c r="N662" s="10"/>
      <c r="O662" s="10"/>
      <c r="P662" s="10"/>
      <c r="Q662" s="29">
        <f t="shared" si="228"/>
        <v>10448.04</v>
      </c>
    </row>
    <row r="663" spans="1:17" ht="12.75">
      <c r="A663" s="11"/>
      <c r="B663" s="12"/>
      <c r="C663" s="13"/>
      <c r="D663" s="27"/>
      <c r="E663" s="10" t="s">
        <v>31</v>
      </c>
      <c r="F663" s="10">
        <v>2904.29</v>
      </c>
      <c r="G663" s="10"/>
      <c r="H663" s="10"/>
      <c r="I663" s="10"/>
      <c r="J663" s="10"/>
      <c r="K663" s="17">
        <v>5146.6</v>
      </c>
      <c r="L663" s="10"/>
      <c r="M663" s="10"/>
      <c r="N663" s="10"/>
      <c r="O663" s="10"/>
      <c r="P663" s="10"/>
      <c r="Q663" s="29">
        <f t="shared" si="228"/>
        <v>8050.89</v>
      </c>
    </row>
    <row r="664" spans="1:17" ht="12">
      <c r="A664" s="11"/>
      <c r="B664" s="12"/>
      <c r="C664" s="13"/>
      <c r="D664" s="27"/>
      <c r="E664" s="14" t="s">
        <v>32</v>
      </c>
      <c r="F664" s="14">
        <f aca="true" t="shared" si="231" ref="F664:P664">SUM(F661:F663)</f>
        <v>9437.599999999999</v>
      </c>
      <c r="G664" s="14">
        <f t="shared" si="231"/>
        <v>0</v>
      </c>
      <c r="H664" s="14">
        <f t="shared" si="231"/>
        <v>0</v>
      </c>
      <c r="I664" s="14">
        <f t="shared" si="231"/>
        <v>0</v>
      </c>
      <c r="J664" s="14">
        <f t="shared" si="231"/>
        <v>0</v>
      </c>
      <c r="K664" s="14">
        <f t="shared" si="231"/>
        <v>18803.79</v>
      </c>
      <c r="L664" s="14">
        <f t="shared" si="231"/>
        <v>0</v>
      </c>
      <c r="M664" s="14">
        <f t="shared" si="231"/>
        <v>0</v>
      </c>
      <c r="N664" s="14">
        <f t="shared" si="231"/>
        <v>0</v>
      </c>
      <c r="O664" s="14">
        <f t="shared" si="231"/>
        <v>0</v>
      </c>
      <c r="P664" s="14">
        <f t="shared" si="231"/>
        <v>0</v>
      </c>
      <c r="Q664" s="55">
        <f t="shared" si="228"/>
        <v>28241.39</v>
      </c>
    </row>
    <row r="665" spans="1:17" ht="12.75">
      <c r="A665" s="11"/>
      <c r="B665" s="12"/>
      <c r="C665" s="13"/>
      <c r="D665" s="27"/>
      <c r="E665" s="10" t="s">
        <v>33</v>
      </c>
      <c r="F665" s="10">
        <v>4207.15</v>
      </c>
      <c r="G665" s="10"/>
      <c r="H665" s="10"/>
      <c r="I665" s="10"/>
      <c r="J665" s="10"/>
      <c r="K665" s="17">
        <v>219.39</v>
      </c>
      <c r="L665" s="10"/>
      <c r="M665" s="10"/>
      <c r="N665" s="10"/>
      <c r="O665" s="10"/>
      <c r="P665" s="10"/>
      <c r="Q665" s="29">
        <f t="shared" si="228"/>
        <v>4426.54</v>
      </c>
    </row>
    <row r="666" spans="1:17" ht="12.75">
      <c r="A666" s="11"/>
      <c r="B666" s="12"/>
      <c r="C666" s="13"/>
      <c r="D666" s="27"/>
      <c r="E666" s="10" t="s">
        <v>34</v>
      </c>
      <c r="F666" s="10">
        <v>3524.1</v>
      </c>
      <c r="G666" s="10"/>
      <c r="H666" s="10"/>
      <c r="I666" s="10"/>
      <c r="J666" s="10"/>
      <c r="K666" s="17">
        <v>10009.56</v>
      </c>
      <c r="L666" s="10"/>
      <c r="M666" s="10"/>
      <c r="N666" s="10"/>
      <c r="O666" s="10"/>
      <c r="P666" s="10"/>
      <c r="Q666" s="29">
        <f t="shared" si="228"/>
        <v>13533.66</v>
      </c>
    </row>
    <row r="667" spans="1:17" ht="12">
      <c r="A667" s="11"/>
      <c r="B667" s="12"/>
      <c r="C667" s="13"/>
      <c r="D667" s="27"/>
      <c r="E667" s="10" t="s">
        <v>35</v>
      </c>
      <c r="F667" s="10">
        <v>4545.89</v>
      </c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29">
        <f t="shared" si="228"/>
        <v>4545.89</v>
      </c>
    </row>
    <row r="668" spans="1:17" ht="12">
      <c r="A668" s="11"/>
      <c r="B668" s="12"/>
      <c r="C668" s="13"/>
      <c r="D668" s="27"/>
      <c r="E668" s="14" t="s">
        <v>36</v>
      </c>
      <c r="F668" s="14">
        <f aca="true" t="shared" si="232" ref="F668:P668">SUM(F665:F667)</f>
        <v>12277.14</v>
      </c>
      <c r="G668" s="14">
        <f t="shared" si="232"/>
        <v>0</v>
      </c>
      <c r="H668" s="14">
        <f t="shared" si="232"/>
        <v>0</v>
      </c>
      <c r="I668" s="14">
        <f t="shared" si="232"/>
        <v>0</v>
      </c>
      <c r="J668" s="14">
        <f t="shared" si="232"/>
        <v>0</v>
      </c>
      <c r="K668" s="14">
        <f t="shared" si="232"/>
        <v>10228.949999999999</v>
      </c>
      <c r="L668" s="14">
        <f t="shared" si="232"/>
        <v>0</v>
      </c>
      <c r="M668" s="14">
        <f t="shared" si="232"/>
        <v>0</v>
      </c>
      <c r="N668" s="14">
        <f t="shared" si="232"/>
        <v>0</v>
      </c>
      <c r="O668" s="14">
        <f t="shared" si="232"/>
        <v>0</v>
      </c>
      <c r="P668" s="14">
        <f t="shared" si="232"/>
        <v>0</v>
      </c>
      <c r="Q668" s="55">
        <f t="shared" si="228"/>
        <v>22506.089999999997</v>
      </c>
    </row>
    <row r="669" spans="1:17" ht="12.75" thickBot="1">
      <c r="A669" s="11"/>
      <c r="B669" s="12"/>
      <c r="C669" s="13"/>
      <c r="D669" s="27"/>
      <c r="E669" s="22" t="s">
        <v>37</v>
      </c>
      <c r="F669" s="22">
        <f aca="true" t="shared" si="233" ref="F669:Q669">F656+F660+F664+F668</f>
        <v>42035.72</v>
      </c>
      <c r="G669" s="22">
        <f t="shared" si="233"/>
        <v>0</v>
      </c>
      <c r="H669" s="22">
        <f t="shared" si="233"/>
        <v>0</v>
      </c>
      <c r="I669" s="22">
        <f t="shared" si="233"/>
        <v>0</v>
      </c>
      <c r="J669" s="22">
        <f t="shared" si="233"/>
        <v>0</v>
      </c>
      <c r="K669" s="22">
        <f t="shared" si="233"/>
        <v>65407.17</v>
      </c>
      <c r="L669" s="22">
        <f t="shared" si="233"/>
        <v>0</v>
      </c>
      <c r="M669" s="22">
        <f t="shared" si="233"/>
        <v>0</v>
      </c>
      <c r="N669" s="22">
        <f t="shared" si="233"/>
        <v>0</v>
      </c>
      <c r="O669" s="22">
        <f t="shared" si="233"/>
        <v>0</v>
      </c>
      <c r="P669" s="35">
        <f t="shared" si="233"/>
        <v>0</v>
      </c>
      <c r="Q669" s="23">
        <f t="shared" si="233"/>
        <v>107442.89</v>
      </c>
    </row>
    <row r="670" spans="1:17" ht="12">
      <c r="A670" s="11">
        <v>40</v>
      </c>
      <c r="B670" s="12">
        <v>72</v>
      </c>
      <c r="C670" s="13" t="s">
        <v>114</v>
      </c>
      <c r="D670" s="27" t="s">
        <v>115</v>
      </c>
      <c r="E670" s="10" t="s">
        <v>21</v>
      </c>
      <c r="F670" s="10">
        <v>6944.98</v>
      </c>
      <c r="G670" s="10"/>
      <c r="H670" s="10">
        <v>600</v>
      </c>
      <c r="I670" s="10"/>
      <c r="J670" s="10"/>
      <c r="K670" s="10">
        <v>1960.77</v>
      </c>
      <c r="L670" s="10"/>
      <c r="M670" s="10"/>
      <c r="N670" s="10"/>
      <c r="O670" s="10">
        <v>2666.46</v>
      </c>
      <c r="P670" s="10"/>
      <c r="Q670" s="29">
        <f aca="true" t="shared" si="234" ref="Q670:Q685">SUM(F670:P670)</f>
        <v>12172.21</v>
      </c>
    </row>
    <row r="671" spans="1:17" ht="12">
      <c r="A671" s="11"/>
      <c r="B671" s="12"/>
      <c r="C671" s="13"/>
      <c r="D671" s="27"/>
      <c r="E671" s="10" t="s">
        <v>22</v>
      </c>
      <c r="F671" s="10">
        <v>5875.15</v>
      </c>
      <c r="G671" s="10"/>
      <c r="H671" s="10">
        <v>480</v>
      </c>
      <c r="I671" s="10"/>
      <c r="J671" s="10"/>
      <c r="K671" s="10">
        <v>1059.14</v>
      </c>
      <c r="L671" s="10"/>
      <c r="M671" s="10"/>
      <c r="N671" s="10"/>
      <c r="O671" s="10">
        <v>1333.23</v>
      </c>
      <c r="P671" s="10"/>
      <c r="Q671" s="29">
        <f t="shared" si="234"/>
        <v>8747.52</v>
      </c>
    </row>
    <row r="672" spans="1:17" ht="12">
      <c r="A672" s="11"/>
      <c r="B672" s="12"/>
      <c r="C672" s="13"/>
      <c r="D672" s="27"/>
      <c r="E672" s="10" t="s">
        <v>23</v>
      </c>
      <c r="F672" s="10">
        <v>13218.29</v>
      </c>
      <c r="G672" s="10"/>
      <c r="H672" s="10">
        <v>1200</v>
      </c>
      <c r="I672" s="10"/>
      <c r="J672" s="10"/>
      <c r="K672" s="10">
        <v>1414.23</v>
      </c>
      <c r="L672" s="10"/>
      <c r="M672" s="10"/>
      <c r="N672" s="10"/>
      <c r="O672" s="10"/>
      <c r="P672" s="10"/>
      <c r="Q672" s="29">
        <f t="shared" si="234"/>
        <v>15832.52</v>
      </c>
    </row>
    <row r="673" spans="1:17" ht="12">
      <c r="A673" s="11"/>
      <c r="B673" s="12"/>
      <c r="C673" s="13"/>
      <c r="D673" s="27"/>
      <c r="E673" s="14" t="s">
        <v>24</v>
      </c>
      <c r="F673" s="14">
        <f aca="true" t="shared" si="235" ref="F673:P673">SUM(F670:F672)</f>
        <v>26038.42</v>
      </c>
      <c r="G673" s="14">
        <f t="shared" si="235"/>
        <v>0</v>
      </c>
      <c r="H673" s="14">
        <f t="shared" si="235"/>
        <v>2280</v>
      </c>
      <c r="I673" s="14">
        <f t="shared" si="235"/>
        <v>0</v>
      </c>
      <c r="J673" s="14">
        <f t="shared" si="235"/>
        <v>0</v>
      </c>
      <c r="K673" s="14">
        <f t="shared" si="235"/>
        <v>4434.139999999999</v>
      </c>
      <c r="L673" s="14">
        <f t="shared" si="235"/>
        <v>0</v>
      </c>
      <c r="M673" s="14">
        <f t="shared" si="235"/>
        <v>0</v>
      </c>
      <c r="N673" s="14">
        <f t="shared" si="235"/>
        <v>0</v>
      </c>
      <c r="O673" s="14">
        <f t="shared" si="235"/>
        <v>3999.69</v>
      </c>
      <c r="P673" s="14">
        <f t="shared" si="235"/>
        <v>0</v>
      </c>
      <c r="Q673" s="55">
        <f t="shared" si="234"/>
        <v>36752.25</v>
      </c>
    </row>
    <row r="674" spans="1:17" ht="12">
      <c r="A674" s="11"/>
      <c r="B674" s="12"/>
      <c r="C674" s="13"/>
      <c r="D674" s="27"/>
      <c r="E674" s="10" t="s">
        <v>25</v>
      </c>
      <c r="F674" s="10">
        <v>8962.54</v>
      </c>
      <c r="G674" s="10"/>
      <c r="H674" s="10">
        <v>600</v>
      </c>
      <c r="I674" s="10"/>
      <c r="J674" s="10"/>
      <c r="K674" s="10">
        <v>1586.56</v>
      </c>
      <c r="L674" s="10"/>
      <c r="M674" s="10"/>
      <c r="N674" s="10"/>
      <c r="O674" s="10"/>
      <c r="P674" s="10"/>
      <c r="Q674" s="29">
        <f t="shared" si="234"/>
        <v>11149.1</v>
      </c>
    </row>
    <row r="675" spans="1:17" ht="12">
      <c r="A675" s="11"/>
      <c r="B675" s="12"/>
      <c r="C675" s="13"/>
      <c r="D675" s="27"/>
      <c r="E675" s="10" t="s">
        <v>26</v>
      </c>
      <c r="F675" s="10">
        <v>8968.46</v>
      </c>
      <c r="G675" s="10"/>
      <c r="H675" s="10">
        <v>720</v>
      </c>
      <c r="I675" s="10"/>
      <c r="J675" s="10"/>
      <c r="K675" s="10">
        <v>2144.9</v>
      </c>
      <c r="L675" s="10"/>
      <c r="M675" s="10"/>
      <c r="N675" s="10"/>
      <c r="O675" s="10">
        <v>3999.69</v>
      </c>
      <c r="P675" s="10"/>
      <c r="Q675" s="29">
        <f t="shared" si="234"/>
        <v>15833.05</v>
      </c>
    </row>
    <row r="676" spans="1:17" ht="12">
      <c r="A676" s="11"/>
      <c r="B676" s="12"/>
      <c r="C676" s="13"/>
      <c r="D676" s="27"/>
      <c r="E676" s="10" t="s">
        <v>27</v>
      </c>
      <c r="F676" s="10">
        <v>5609.87</v>
      </c>
      <c r="G676" s="10"/>
      <c r="H676" s="10">
        <v>480</v>
      </c>
      <c r="I676" s="10"/>
      <c r="J676" s="10"/>
      <c r="K676" s="10">
        <v>972.97</v>
      </c>
      <c r="L676" s="10"/>
      <c r="M676" s="10"/>
      <c r="N676" s="10"/>
      <c r="O676" s="10"/>
      <c r="P676" s="10"/>
      <c r="Q676" s="29">
        <f t="shared" si="234"/>
        <v>7062.84</v>
      </c>
    </row>
    <row r="677" spans="1:17" ht="12">
      <c r="A677" s="11"/>
      <c r="B677" s="12"/>
      <c r="C677" s="13"/>
      <c r="D677" s="27"/>
      <c r="E677" s="14" t="s">
        <v>28</v>
      </c>
      <c r="F677" s="14">
        <f aca="true" t="shared" si="236" ref="F677:P677">SUM(F674:F676)</f>
        <v>23540.87</v>
      </c>
      <c r="G677" s="14">
        <f t="shared" si="236"/>
        <v>0</v>
      </c>
      <c r="H677" s="14">
        <f t="shared" si="236"/>
        <v>1800</v>
      </c>
      <c r="I677" s="14">
        <f t="shared" si="236"/>
        <v>0</v>
      </c>
      <c r="J677" s="14">
        <f t="shared" si="236"/>
        <v>0</v>
      </c>
      <c r="K677" s="14">
        <f t="shared" si="236"/>
        <v>4704.43</v>
      </c>
      <c r="L677" s="14">
        <f t="shared" si="236"/>
        <v>0</v>
      </c>
      <c r="M677" s="14">
        <f t="shared" si="236"/>
        <v>0</v>
      </c>
      <c r="N677" s="14">
        <f t="shared" si="236"/>
        <v>0</v>
      </c>
      <c r="O677" s="14">
        <f t="shared" si="236"/>
        <v>3999.69</v>
      </c>
      <c r="P677" s="14">
        <f t="shared" si="236"/>
        <v>0</v>
      </c>
      <c r="Q677" s="55">
        <f t="shared" si="234"/>
        <v>34044.99</v>
      </c>
    </row>
    <row r="678" spans="1:17" ht="12">
      <c r="A678" s="11"/>
      <c r="B678" s="12"/>
      <c r="C678" s="13"/>
      <c r="D678" s="27"/>
      <c r="E678" s="10" t="s">
        <v>29</v>
      </c>
      <c r="F678" s="10">
        <v>7369.35</v>
      </c>
      <c r="G678" s="10"/>
      <c r="H678" s="16">
        <v>720</v>
      </c>
      <c r="I678" s="10"/>
      <c r="J678" s="10"/>
      <c r="K678" s="16">
        <v>2439.51</v>
      </c>
      <c r="L678" s="10"/>
      <c r="M678" s="10"/>
      <c r="N678" s="10"/>
      <c r="O678" s="16">
        <v>1286.37</v>
      </c>
      <c r="P678" s="10"/>
      <c r="Q678" s="29">
        <f t="shared" si="234"/>
        <v>11815.23</v>
      </c>
    </row>
    <row r="679" spans="1:17" ht="12.75">
      <c r="A679" s="11"/>
      <c r="B679" s="12"/>
      <c r="C679" s="13"/>
      <c r="D679" s="27"/>
      <c r="E679" s="10" t="s">
        <v>30</v>
      </c>
      <c r="F679" s="10">
        <v>7432.16</v>
      </c>
      <c r="G679" s="10"/>
      <c r="H679" s="17">
        <v>720</v>
      </c>
      <c r="I679" s="10"/>
      <c r="J679" s="10"/>
      <c r="K679" s="17">
        <v>670.76</v>
      </c>
      <c r="L679" s="10"/>
      <c r="M679" s="10"/>
      <c r="N679" s="10"/>
      <c r="O679" s="17">
        <v>2572.73</v>
      </c>
      <c r="P679" s="10"/>
      <c r="Q679" s="29">
        <f t="shared" si="234"/>
        <v>11395.65</v>
      </c>
    </row>
    <row r="680" spans="1:17" ht="12.75">
      <c r="A680" s="11"/>
      <c r="B680" s="12"/>
      <c r="C680" s="13"/>
      <c r="D680" s="27"/>
      <c r="E680" s="10" t="s">
        <v>31</v>
      </c>
      <c r="F680" s="10">
        <v>7271.200000000001</v>
      </c>
      <c r="G680" s="10"/>
      <c r="H680" s="17">
        <v>480</v>
      </c>
      <c r="I680" s="10"/>
      <c r="J680" s="10"/>
      <c r="K680" s="17">
        <v>785.96</v>
      </c>
      <c r="L680" s="10"/>
      <c r="M680" s="10"/>
      <c r="N680" s="10"/>
      <c r="O680" s="10"/>
      <c r="P680" s="10"/>
      <c r="Q680" s="29">
        <f t="shared" si="234"/>
        <v>8537.16</v>
      </c>
    </row>
    <row r="681" spans="1:17" ht="12">
      <c r="A681" s="11"/>
      <c r="B681" s="12"/>
      <c r="C681" s="13"/>
      <c r="D681" s="27"/>
      <c r="E681" s="14" t="s">
        <v>32</v>
      </c>
      <c r="F681" s="14">
        <f aca="true" t="shared" si="237" ref="F681:P681">SUM(F678:F680)</f>
        <v>22072.71</v>
      </c>
      <c r="G681" s="14">
        <f t="shared" si="237"/>
        <v>0</v>
      </c>
      <c r="H681" s="14">
        <f t="shared" si="237"/>
        <v>1920</v>
      </c>
      <c r="I681" s="14">
        <f t="shared" si="237"/>
        <v>0</v>
      </c>
      <c r="J681" s="14">
        <f t="shared" si="237"/>
        <v>0</v>
      </c>
      <c r="K681" s="14">
        <f t="shared" si="237"/>
        <v>3896.2300000000005</v>
      </c>
      <c r="L681" s="14">
        <f t="shared" si="237"/>
        <v>0</v>
      </c>
      <c r="M681" s="14">
        <f t="shared" si="237"/>
        <v>0</v>
      </c>
      <c r="N681" s="14">
        <f t="shared" si="237"/>
        <v>0</v>
      </c>
      <c r="O681" s="14">
        <f t="shared" si="237"/>
        <v>3859.1</v>
      </c>
      <c r="P681" s="14">
        <f t="shared" si="237"/>
        <v>0</v>
      </c>
      <c r="Q681" s="55">
        <f t="shared" si="234"/>
        <v>31748.039999999997</v>
      </c>
    </row>
    <row r="682" spans="1:17" ht="12.75">
      <c r="A682" s="11"/>
      <c r="B682" s="12"/>
      <c r="C682" s="13"/>
      <c r="D682" s="27"/>
      <c r="E682" s="10" t="s">
        <v>33</v>
      </c>
      <c r="F682" s="10">
        <v>6319.86</v>
      </c>
      <c r="G682" s="10"/>
      <c r="H682" s="17">
        <v>720</v>
      </c>
      <c r="I682" s="10"/>
      <c r="J682" s="10"/>
      <c r="K682" s="10">
        <v>535.51</v>
      </c>
      <c r="L682" s="10"/>
      <c r="M682" s="10"/>
      <c r="N682" s="10"/>
      <c r="O682" s="17">
        <v>3859.09</v>
      </c>
      <c r="P682" s="17">
        <v>65461.96</v>
      </c>
      <c r="Q682" s="29">
        <f t="shared" si="234"/>
        <v>76896.42</v>
      </c>
    </row>
    <row r="683" spans="1:17" ht="12.75">
      <c r="A683" s="11"/>
      <c r="B683" s="12"/>
      <c r="C683" s="13"/>
      <c r="D683" s="27"/>
      <c r="E683" s="10" t="s">
        <v>34</v>
      </c>
      <c r="F683" s="10">
        <v>6531.03</v>
      </c>
      <c r="G683" s="10"/>
      <c r="H683" s="17">
        <v>600</v>
      </c>
      <c r="I683" s="10"/>
      <c r="J683" s="10"/>
      <c r="K683" s="17"/>
      <c r="L683" s="10"/>
      <c r="M683" s="10"/>
      <c r="N683" s="10"/>
      <c r="O683" s="10"/>
      <c r="P683" s="17">
        <v>65461.96</v>
      </c>
      <c r="Q683" s="29">
        <f t="shared" si="234"/>
        <v>72592.99</v>
      </c>
    </row>
    <row r="684" spans="1:17" ht="12.75">
      <c r="A684" s="11"/>
      <c r="B684" s="12"/>
      <c r="C684" s="13"/>
      <c r="D684" s="27"/>
      <c r="E684" s="10" t="s">
        <v>35</v>
      </c>
      <c r="F684" s="18">
        <v>7477.24</v>
      </c>
      <c r="G684" s="10"/>
      <c r="H684" s="10">
        <v>480</v>
      </c>
      <c r="I684" s="10"/>
      <c r="J684" s="10"/>
      <c r="K684" s="10"/>
      <c r="L684" s="10"/>
      <c r="M684" s="10"/>
      <c r="N684" s="10"/>
      <c r="O684" s="10"/>
      <c r="P684" s="18">
        <v>65461.96</v>
      </c>
      <c r="Q684" s="29">
        <f t="shared" si="234"/>
        <v>73419.2</v>
      </c>
    </row>
    <row r="685" spans="1:17" ht="12">
      <c r="A685" s="11"/>
      <c r="B685" s="12"/>
      <c r="C685" s="13"/>
      <c r="D685" s="27"/>
      <c r="E685" s="14" t="s">
        <v>36</v>
      </c>
      <c r="F685" s="14">
        <f aca="true" t="shared" si="238" ref="F685:P685">SUM(F682:F684)</f>
        <v>20328.129999999997</v>
      </c>
      <c r="G685" s="14">
        <f t="shared" si="238"/>
        <v>0</v>
      </c>
      <c r="H685" s="14">
        <f t="shared" si="238"/>
        <v>1800</v>
      </c>
      <c r="I685" s="14">
        <f t="shared" si="238"/>
        <v>0</v>
      </c>
      <c r="J685" s="14">
        <f t="shared" si="238"/>
        <v>0</v>
      </c>
      <c r="K685" s="14">
        <f t="shared" si="238"/>
        <v>535.51</v>
      </c>
      <c r="L685" s="14">
        <f t="shared" si="238"/>
        <v>0</v>
      </c>
      <c r="M685" s="14">
        <f t="shared" si="238"/>
        <v>0</v>
      </c>
      <c r="N685" s="14">
        <f t="shared" si="238"/>
        <v>0</v>
      </c>
      <c r="O685" s="14">
        <f t="shared" si="238"/>
        <v>3859.09</v>
      </c>
      <c r="P685" s="14">
        <f t="shared" si="238"/>
        <v>196385.88</v>
      </c>
      <c r="Q685" s="55">
        <f t="shared" si="234"/>
        <v>222908.61</v>
      </c>
    </row>
    <row r="686" spans="1:17" ht="12.75" thickBot="1">
      <c r="A686" s="11"/>
      <c r="B686" s="12"/>
      <c r="C686" s="13"/>
      <c r="D686" s="27"/>
      <c r="E686" s="22" t="s">
        <v>37</v>
      </c>
      <c r="F686" s="22">
        <f aca="true" t="shared" si="239" ref="F686:Q686">F673+F677+F681+F685</f>
        <v>91980.13</v>
      </c>
      <c r="G686" s="22">
        <f t="shared" si="239"/>
        <v>0</v>
      </c>
      <c r="H686" s="22">
        <f t="shared" si="239"/>
        <v>7800</v>
      </c>
      <c r="I686" s="22">
        <f t="shared" si="239"/>
        <v>0</v>
      </c>
      <c r="J686" s="22">
        <f t="shared" si="239"/>
        <v>0</v>
      </c>
      <c r="K686" s="22">
        <f t="shared" si="239"/>
        <v>13570.31</v>
      </c>
      <c r="L686" s="22">
        <f t="shared" si="239"/>
        <v>0</v>
      </c>
      <c r="M686" s="22">
        <f t="shared" si="239"/>
        <v>0</v>
      </c>
      <c r="N686" s="22">
        <f t="shared" si="239"/>
        <v>0</v>
      </c>
      <c r="O686" s="22">
        <f t="shared" si="239"/>
        <v>15717.57</v>
      </c>
      <c r="P686" s="35">
        <f t="shared" si="239"/>
        <v>196385.88</v>
      </c>
      <c r="Q686" s="23">
        <f t="shared" si="239"/>
        <v>325453.88999999996</v>
      </c>
    </row>
    <row r="687" spans="1:17" ht="12">
      <c r="A687" s="11">
        <v>41</v>
      </c>
      <c r="B687" s="12">
        <v>38</v>
      </c>
      <c r="C687" s="13" t="s">
        <v>116</v>
      </c>
      <c r="D687" s="27" t="s">
        <v>117</v>
      </c>
      <c r="E687" s="10" t="s">
        <v>21</v>
      </c>
      <c r="F687" s="10">
        <v>74.65</v>
      </c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29">
        <f aca="true" t="shared" si="240" ref="Q687:Q702">SUM(F687:P687)</f>
        <v>74.65</v>
      </c>
    </row>
    <row r="688" spans="1:17" ht="12">
      <c r="A688" s="11"/>
      <c r="B688" s="12"/>
      <c r="C688" s="13"/>
      <c r="D688" s="27"/>
      <c r="E688" s="10" t="s">
        <v>22</v>
      </c>
      <c r="F688" s="10">
        <v>1331.21</v>
      </c>
      <c r="G688" s="10"/>
      <c r="H688" s="10"/>
      <c r="I688" s="10"/>
      <c r="J688" s="10"/>
      <c r="K688" s="10">
        <v>219.39</v>
      </c>
      <c r="L688" s="10"/>
      <c r="M688" s="10"/>
      <c r="N688" s="10"/>
      <c r="O688" s="10"/>
      <c r="P688" s="10"/>
      <c r="Q688" s="29">
        <f t="shared" si="240"/>
        <v>1550.6</v>
      </c>
    </row>
    <row r="689" spans="1:17" ht="12">
      <c r="A689" s="11"/>
      <c r="B689" s="12"/>
      <c r="C689" s="13"/>
      <c r="D689" s="27"/>
      <c r="E689" s="10" t="s">
        <v>23</v>
      </c>
      <c r="F689" s="10">
        <v>1810.73</v>
      </c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29">
        <f t="shared" si="240"/>
        <v>1810.73</v>
      </c>
    </row>
    <row r="690" spans="1:17" ht="12">
      <c r="A690" s="11"/>
      <c r="B690" s="12"/>
      <c r="C690" s="13"/>
      <c r="D690" s="27"/>
      <c r="E690" s="14" t="s">
        <v>24</v>
      </c>
      <c r="F690" s="14">
        <f aca="true" t="shared" si="241" ref="F690:P690">SUM(F687:F689)</f>
        <v>3216.59</v>
      </c>
      <c r="G690" s="14">
        <f t="shared" si="241"/>
        <v>0</v>
      </c>
      <c r="H690" s="14">
        <f t="shared" si="241"/>
        <v>0</v>
      </c>
      <c r="I690" s="14">
        <f t="shared" si="241"/>
        <v>0</v>
      </c>
      <c r="J690" s="14">
        <f t="shared" si="241"/>
        <v>0</v>
      </c>
      <c r="K690" s="14">
        <f t="shared" si="241"/>
        <v>219.39</v>
      </c>
      <c r="L690" s="14">
        <f t="shared" si="241"/>
        <v>0</v>
      </c>
      <c r="M690" s="14">
        <f t="shared" si="241"/>
        <v>0</v>
      </c>
      <c r="N690" s="14">
        <f t="shared" si="241"/>
        <v>0</v>
      </c>
      <c r="O690" s="14">
        <f t="shared" si="241"/>
        <v>0</v>
      </c>
      <c r="P690" s="14">
        <f t="shared" si="241"/>
        <v>0</v>
      </c>
      <c r="Q690" s="55">
        <f t="shared" si="240"/>
        <v>3435.98</v>
      </c>
    </row>
    <row r="691" spans="1:17" ht="12">
      <c r="A691" s="11"/>
      <c r="B691" s="12"/>
      <c r="C691" s="13"/>
      <c r="D691" s="27"/>
      <c r="E691" s="10" t="s">
        <v>25</v>
      </c>
      <c r="F691" s="10">
        <v>16.63</v>
      </c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29">
        <f t="shared" si="240"/>
        <v>16.63</v>
      </c>
    </row>
    <row r="692" spans="1:17" ht="12">
      <c r="A692" s="11"/>
      <c r="B692" s="12"/>
      <c r="C692" s="13"/>
      <c r="D692" s="27"/>
      <c r="E692" s="10" t="s">
        <v>26</v>
      </c>
      <c r="F692" s="10">
        <v>1177.01</v>
      </c>
      <c r="G692" s="10"/>
      <c r="H692" s="10"/>
      <c r="I692" s="10"/>
      <c r="J692" s="10"/>
      <c r="K692" s="10">
        <v>73.13</v>
      </c>
      <c r="L692" s="10"/>
      <c r="M692" s="10"/>
      <c r="N692" s="10"/>
      <c r="O692" s="10"/>
      <c r="P692" s="10"/>
      <c r="Q692" s="29">
        <f t="shared" si="240"/>
        <v>1250.1399999999999</v>
      </c>
    </row>
    <row r="693" spans="1:17" ht="12">
      <c r="A693" s="11"/>
      <c r="B693" s="12"/>
      <c r="C693" s="13"/>
      <c r="D693" s="27"/>
      <c r="E693" s="10" t="s">
        <v>27</v>
      </c>
      <c r="F693" s="10">
        <v>1212.19</v>
      </c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29">
        <f t="shared" si="240"/>
        <v>1212.19</v>
      </c>
    </row>
    <row r="694" spans="1:17" ht="12">
      <c r="A694" s="11"/>
      <c r="B694" s="12"/>
      <c r="C694" s="13"/>
      <c r="D694" s="27"/>
      <c r="E694" s="14" t="s">
        <v>28</v>
      </c>
      <c r="F694" s="14">
        <f aca="true" t="shared" si="242" ref="F694:P694">SUM(F691:F693)</f>
        <v>2405.83</v>
      </c>
      <c r="G694" s="14">
        <f t="shared" si="242"/>
        <v>0</v>
      </c>
      <c r="H694" s="14">
        <f t="shared" si="242"/>
        <v>0</v>
      </c>
      <c r="I694" s="14">
        <f t="shared" si="242"/>
        <v>0</v>
      </c>
      <c r="J694" s="14">
        <f t="shared" si="242"/>
        <v>0</v>
      </c>
      <c r="K694" s="14">
        <f t="shared" si="242"/>
        <v>73.13</v>
      </c>
      <c r="L694" s="14">
        <f t="shared" si="242"/>
        <v>0</v>
      </c>
      <c r="M694" s="14">
        <f t="shared" si="242"/>
        <v>0</v>
      </c>
      <c r="N694" s="14">
        <f t="shared" si="242"/>
        <v>0</v>
      </c>
      <c r="O694" s="14">
        <f t="shared" si="242"/>
        <v>0</v>
      </c>
      <c r="P694" s="14">
        <f t="shared" si="242"/>
        <v>0</v>
      </c>
      <c r="Q694" s="55">
        <f t="shared" si="240"/>
        <v>2478.96</v>
      </c>
    </row>
    <row r="695" spans="1:17" ht="12">
      <c r="A695" s="11"/>
      <c r="B695" s="12"/>
      <c r="C695" s="13"/>
      <c r="D695" s="27"/>
      <c r="E695" s="10" t="s">
        <v>29</v>
      </c>
      <c r="F695" s="10">
        <v>1112.04</v>
      </c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29">
        <f t="shared" si="240"/>
        <v>1112.04</v>
      </c>
    </row>
    <row r="696" spans="1:17" ht="12.75">
      <c r="A696" s="11"/>
      <c r="B696" s="12"/>
      <c r="C696" s="13"/>
      <c r="D696" s="27"/>
      <c r="E696" s="10" t="s">
        <v>30</v>
      </c>
      <c r="F696" s="17">
        <v>323.98</v>
      </c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29">
        <f t="shared" si="240"/>
        <v>323.98</v>
      </c>
    </row>
    <row r="697" spans="1:17" ht="12.75">
      <c r="A697" s="11"/>
      <c r="B697" s="12"/>
      <c r="C697" s="13"/>
      <c r="D697" s="27"/>
      <c r="E697" s="10" t="s">
        <v>31</v>
      </c>
      <c r="F697" s="17">
        <v>701.91</v>
      </c>
      <c r="G697" s="10"/>
      <c r="H697" s="10"/>
      <c r="I697" s="10"/>
      <c r="J697" s="10"/>
      <c r="K697" s="17">
        <v>1116.28</v>
      </c>
      <c r="L697" s="10"/>
      <c r="M697" s="10"/>
      <c r="N697" s="10"/>
      <c r="O697" s="10"/>
      <c r="P697" s="10"/>
      <c r="Q697" s="29">
        <f t="shared" si="240"/>
        <v>1818.19</v>
      </c>
    </row>
    <row r="698" spans="1:17" ht="12">
      <c r="A698" s="11"/>
      <c r="B698" s="12"/>
      <c r="C698" s="13"/>
      <c r="D698" s="27"/>
      <c r="E698" s="14" t="s">
        <v>32</v>
      </c>
      <c r="F698" s="14">
        <f aca="true" t="shared" si="243" ref="F698:P698">SUM(F695:F697)</f>
        <v>2137.93</v>
      </c>
      <c r="G698" s="14">
        <f t="shared" si="243"/>
        <v>0</v>
      </c>
      <c r="H698" s="14">
        <f t="shared" si="243"/>
        <v>0</v>
      </c>
      <c r="I698" s="14">
        <f t="shared" si="243"/>
        <v>0</v>
      </c>
      <c r="J698" s="14">
        <f t="shared" si="243"/>
        <v>0</v>
      </c>
      <c r="K698" s="14">
        <f t="shared" si="243"/>
        <v>1116.28</v>
      </c>
      <c r="L698" s="14">
        <f t="shared" si="243"/>
        <v>0</v>
      </c>
      <c r="M698" s="14">
        <f t="shared" si="243"/>
        <v>0</v>
      </c>
      <c r="N698" s="14">
        <f t="shared" si="243"/>
        <v>0</v>
      </c>
      <c r="O698" s="14">
        <f t="shared" si="243"/>
        <v>0</v>
      </c>
      <c r="P698" s="14">
        <f t="shared" si="243"/>
        <v>0</v>
      </c>
      <c r="Q698" s="55">
        <f t="shared" si="240"/>
        <v>3254.21</v>
      </c>
    </row>
    <row r="699" spans="1:17" ht="12.75">
      <c r="A699" s="11"/>
      <c r="B699" s="12"/>
      <c r="C699" s="13"/>
      <c r="D699" s="27"/>
      <c r="E699" s="10" t="s">
        <v>33</v>
      </c>
      <c r="F699" s="17">
        <v>276.49</v>
      </c>
      <c r="G699" s="10"/>
      <c r="H699" s="10"/>
      <c r="I699" s="10"/>
      <c r="J699" s="10"/>
      <c r="K699" s="17">
        <v>879.45</v>
      </c>
      <c r="L699" s="10"/>
      <c r="M699" s="10"/>
      <c r="N699" s="10"/>
      <c r="O699" s="10"/>
      <c r="P699" s="10"/>
      <c r="Q699" s="29">
        <f t="shared" si="240"/>
        <v>1155.94</v>
      </c>
    </row>
    <row r="700" spans="1:17" ht="12.75">
      <c r="A700" s="11"/>
      <c r="B700" s="12"/>
      <c r="C700" s="13"/>
      <c r="D700" s="27"/>
      <c r="E700" s="10" t="s">
        <v>34</v>
      </c>
      <c r="F700" s="17">
        <v>1739.76</v>
      </c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29">
        <f t="shared" si="240"/>
        <v>1739.76</v>
      </c>
    </row>
    <row r="701" spans="1:17" ht="12.75">
      <c r="A701" s="11"/>
      <c r="B701" s="12"/>
      <c r="C701" s="13"/>
      <c r="D701" s="27"/>
      <c r="E701" s="10" t="s">
        <v>35</v>
      </c>
      <c r="F701" s="18">
        <v>317.36</v>
      </c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29">
        <f t="shared" si="240"/>
        <v>317.36</v>
      </c>
    </row>
    <row r="702" spans="1:17" ht="12">
      <c r="A702" s="11"/>
      <c r="B702" s="12"/>
      <c r="C702" s="13"/>
      <c r="D702" s="27"/>
      <c r="E702" s="14" t="s">
        <v>36</v>
      </c>
      <c r="F702" s="14">
        <f aca="true" t="shared" si="244" ref="F702:P702">SUM(F699:F701)</f>
        <v>2333.61</v>
      </c>
      <c r="G702" s="14">
        <f t="shared" si="244"/>
        <v>0</v>
      </c>
      <c r="H702" s="14">
        <f t="shared" si="244"/>
        <v>0</v>
      </c>
      <c r="I702" s="14">
        <f t="shared" si="244"/>
        <v>0</v>
      </c>
      <c r="J702" s="14">
        <f t="shared" si="244"/>
        <v>0</v>
      </c>
      <c r="K702" s="14">
        <f t="shared" si="244"/>
        <v>879.45</v>
      </c>
      <c r="L702" s="14">
        <f t="shared" si="244"/>
        <v>0</v>
      </c>
      <c r="M702" s="14">
        <f t="shared" si="244"/>
        <v>0</v>
      </c>
      <c r="N702" s="14">
        <f t="shared" si="244"/>
        <v>0</v>
      </c>
      <c r="O702" s="14">
        <f t="shared" si="244"/>
        <v>0</v>
      </c>
      <c r="P702" s="14">
        <f t="shared" si="244"/>
        <v>0</v>
      </c>
      <c r="Q702" s="55">
        <f t="shared" si="240"/>
        <v>3213.0600000000004</v>
      </c>
    </row>
    <row r="703" spans="1:17" ht="12.75" thickBot="1">
      <c r="A703" s="11"/>
      <c r="B703" s="12"/>
      <c r="C703" s="13"/>
      <c r="D703" s="27"/>
      <c r="E703" s="22" t="s">
        <v>37</v>
      </c>
      <c r="F703" s="22">
        <f aca="true" t="shared" si="245" ref="F703:Q703">F690+F694+F698+F702</f>
        <v>10093.960000000001</v>
      </c>
      <c r="G703" s="22">
        <f t="shared" si="245"/>
        <v>0</v>
      </c>
      <c r="H703" s="22">
        <f t="shared" si="245"/>
        <v>0</v>
      </c>
      <c r="I703" s="22">
        <f t="shared" si="245"/>
        <v>0</v>
      </c>
      <c r="J703" s="22">
        <f t="shared" si="245"/>
        <v>0</v>
      </c>
      <c r="K703" s="22">
        <f t="shared" si="245"/>
        <v>2288.25</v>
      </c>
      <c r="L703" s="22">
        <f t="shared" si="245"/>
        <v>0</v>
      </c>
      <c r="M703" s="22">
        <f t="shared" si="245"/>
        <v>0</v>
      </c>
      <c r="N703" s="22">
        <f t="shared" si="245"/>
        <v>0</v>
      </c>
      <c r="O703" s="22">
        <f t="shared" si="245"/>
        <v>0</v>
      </c>
      <c r="P703" s="35">
        <f t="shared" si="245"/>
        <v>0</v>
      </c>
      <c r="Q703" s="23">
        <f t="shared" si="245"/>
        <v>12382.210000000003</v>
      </c>
    </row>
    <row r="704" spans="1:17" ht="12">
      <c r="A704" s="11">
        <v>42</v>
      </c>
      <c r="B704" s="12">
        <v>70</v>
      </c>
      <c r="C704" s="13" t="s">
        <v>118</v>
      </c>
      <c r="D704" s="27" t="s">
        <v>119</v>
      </c>
      <c r="E704" s="10" t="s">
        <v>21</v>
      </c>
      <c r="F704" s="10">
        <v>1662.12</v>
      </c>
      <c r="G704" s="10"/>
      <c r="H704" s="10">
        <v>120</v>
      </c>
      <c r="I704" s="10"/>
      <c r="J704" s="10"/>
      <c r="K704" s="10"/>
      <c r="L704" s="10"/>
      <c r="M704" s="10"/>
      <c r="N704" s="10"/>
      <c r="O704" s="10"/>
      <c r="P704" s="10"/>
      <c r="Q704" s="29">
        <f aca="true" t="shared" si="246" ref="Q704:Q719">SUM(F704:P704)</f>
        <v>1782.12</v>
      </c>
    </row>
    <row r="705" spans="1:17" ht="12">
      <c r="A705" s="11"/>
      <c r="B705" s="12"/>
      <c r="C705" s="13"/>
      <c r="D705" s="27"/>
      <c r="E705" s="10" t="s">
        <v>22</v>
      </c>
      <c r="F705" s="10">
        <v>2454.82</v>
      </c>
      <c r="G705" s="10"/>
      <c r="H705" s="10">
        <v>120</v>
      </c>
      <c r="I705" s="10"/>
      <c r="J705" s="10"/>
      <c r="K705" s="10">
        <v>103.26</v>
      </c>
      <c r="L705" s="10"/>
      <c r="M705" s="10"/>
      <c r="N705" s="10"/>
      <c r="O705" s="10"/>
      <c r="P705" s="10"/>
      <c r="Q705" s="29">
        <f t="shared" si="246"/>
        <v>2678.0800000000004</v>
      </c>
    </row>
    <row r="706" spans="1:17" ht="12">
      <c r="A706" s="11"/>
      <c r="B706" s="12"/>
      <c r="C706" s="13"/>
      <c r="D706" s="27"/>
      <c r="E706" s="10" t="s">
        <v>23</v>
      </c>
      <c r="F706" s="10">
        <v>1398.09</v>
      </c>
      <c r="G706" s="10"/>
      <c r="H706" s="10">
        <v>120</v>
      </c>
      <c r="I706" s="10"/>
      <c r="J706" s="10"/>
      <c r="K706" s="10">
        <v>51.63</v>
      </c>
      <c r="L706" s="10"/>
      <c r="M706" s="10"/>
      <c r="N706" s="10"/>
      <c r="O706" s="10"/>
      <c r="P706" s="10"/>
      <c r="Q706" s="29">
        <f t="shared" si="246"/>
        <v>1569.72</v>
      </c>
    </row>
    <row r="707" spans="1:17" ht="12">
      <c r="A707" s="11"/>
      <c r="B707" s="12"/>
      <c r="C707" s="13"/>
      <c r="D707" s="27"/>
      <c r="E707" s="14" t="s">
        <v>24</v>
      </c>
      <c r="F707" s="14">
        <f aca="true" t="shared" si="247" ref="F707:P707">SUM(F704:F706)</f>
        <v>5515.030000000001</v>
      </c>
      <c r="G707" s="14">
        <f t="shared" si="247"/>
        <v>0</v>
      </c>
      <c r="H707" s="14">
        <f t="shared" si="247"/>
        <v>360</v>
      </c>
      <c r="I707" s="14">
        <f t="shared" si="247"/>
        <v>0</v>
      </c>
      <c r="J707" s="14">
        <f t="shared" si="247"/>
        <v>0</v>
      </c>
      <c r="K707" s="14">
        <f t="shared" si="247"/>
        <v>154.89000000000001</v>
      </c>
      <c r="L707" s="14">
        <f t="shared" si="247"/>
        <v>0</v>
      </c>
      <c r="M707" s="14">
        <f t="shared" si="247"/>
        <v>0</v>
      </c>
      <c r="N707" s="14">
        <f t="shared" si="247"/>
        <v>0</v>
      </c>
      <c r="O707" s="14">
        <f t="shared" si="247"/>
        <v>0</v>
      </c>
      <c r="P707" s="14">
        <f t="shared" si="247"/>
        <v>0</v>
      </c>
      <c r="Q707" s="55">
        <f t="shared" si="246"/>
        <v>6029.920000000001</v>
      </c>
    </row>
    <row r="708" spans="1:17" ht="12">
      <c r="A708" s="11"/>
      <c r="B708" s="12"/>
      <c r="C708" s="13"/>
      <c r="D708" s="27"/>
      <c r="E708" s="10" t="s">
        <v>25</v>
      </c>
      <c r="F708" s="10">
        <v>1209.74</v>
      </c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29">
        <f t="shared" si="246"/>
        <v>1209.74</v>
      </c>
    </row>
    <row r="709" spans="1:17" ht="12">
      <c r="A709" s="11"/>
      <c r="B709" s="12"/>
      <c r="C709" s="13"/>
      <c r="D709" s="27"/>
      <c r="E709" s="10" t="s">
        <v>26</v>
      </c>
      <c r="F709" s="10">
        <v>2425.99</v>
      </c>
      <c r="G709" s="10"/>
      <c r="H709" s="10">
        <v>120</v>
      </c>
      <c r="I709" s="10"/>
      <c r="J709" s="10"/>
      <c r="K709" s="10">
        <v>51.64</v>
      </c>
      <c r="L709" s="10"/>
      <c r="M709" s="10"/>
      <c r="N709" s="10"/>
      <c r="O709" s="10"/>
      <c r="P709" s="10"/>
      <c r="Q709" s="29">
        <f t="shared" si="246"/>
        <v>2597.6299999999997</v>
      </c>
    </row>
    <row r="710" spans="1:17" ht="12">
      <c r="A710" s="11"/>
      <c r="B710" s="12"/>
      <c r="C710" s="13"/>
      <c r="D710" s="27"/>
      <c r="E710" s="10" t="s">
        <v>27</v>
      </c>
      <c r="F710" s="10">
        <v>1640.7</v>
      </c>
      <c r="G710" s="10"/>
      <c r="H710" s="10">
        <v>120</v>
      </c>
      <c r="I710" s="10"/>
      <c r="J710" s="10"/>
      <c r="K710" s="10">
        <v>51.63</v>
      </c>
      <c r="L710" s="10"/>
      <c r="M710" s="10"/>
      <c r="N710" s="10"/>
      <c r="O710" s="10"/>
      <c r="P710" s="10"/>
      <c r="Q710" s="29">
        <f t="shared" si="246"/>
        <v>1812.3300000000002</v>
      </c>
    </row>
    <row r="711" spans="1:17" ht="12">
      <c r="A711" s="11"/>
      <c r="B711" s="12"/>
      <c r="C711" s="13"/>
      <c r="D711" s="27"/>
      <c r="E711" s="14" t="s">
        <v>28</v>
      </c>
      <c r="F711" s="14">
        <f aca="true" t="shared" si="248" ref="F711:P711">SUM(F708:F710)</f>
        <v>5276.429999999999</v>
      </c>
      <c r="G711" s="14">
        <f t="shared" si="248"/>
        <v>0</v>
      </c>
      <c r="H711" s="14">
        <f t="shared" si="248"/>
        <v>240</v>
      </c>
      <c r="I711" s="14">
        <f t="shared" si="248"/>
        <v>0</v>
      </c>
      <c r="J711" s="14">
        <f t="shared" si="248"/>
        <v>0</v>
      </c>
      <c r="K711" s="14">
        <f t="shared" si="248"/>
        <v>103.27000000000001</v>
      </c>
      <c r="L711" s="14">
        <f t="shared" si="248"/>
        <v>0</v>
      </c>
      <c r="M711" s="14">
        <f t="shared" si="248"/>
        <v>0</v>
      </c>
      <c r="N711" s="14">
        <f t="shared" si="248"/>
        <v>0</v>
      </c>
      <c r="O711" s="14">
        <f t="shared" si="248"/>
        <v>0</v>
      </c>
      <c r="P711" s="14">
        <f t="shared" si="248"/>
        <v>0</v>
      </c>
      <c r="Q711" s="55">
        <f t="shared" si="246"/>
        <v>5619.7</v>
      </c>
    </row>
    <row r="712" spans="1:17" ht="12">
      <c r="A712" s="11"/>
      <c r="B712" s="12"/>
      <c r="C712" s="13"/>
      <c r="D712" s="27"/>
      <c r="E712" s="10" t="s">
        <v>29</v>
      </c>
      <c r="F712" s="10">
        <v>1853.76</v>
      </c>
      <c r="G712" s="10"/>
      <c r="H712" s="16">
        <v>120</v>
      </c>
      <c r="I712" s="10"/>
      <c r="J712" s="10"/>
      <c r="K712" s="16">
        <v>4154.55</v>
      </c>
      <c r="L712" s="10"/>
      <c r="M712" s="10"/>
      <c r="N712" s="10"/>
      <c r="O712" s="10"/>
      <c r="P712" s="10"/>
      <c r="Q712" s="29">
        <f t="shared" si="246"/>
        <v>6128.31</v>
      </c>
    </row>
    <row r="713" spans="1:17" ht="12.75">
      <c r="A713" s="11"/>
      <c r="B713" s="12"/>
      <c r="C713" s="13"/>
      <c r="D713" s="27"/>
      <c r="E713" s="10" t="s">
        <v>30</v>
      </c>
      <c r="F713" s="17">
        <v>712.81</v>
      </c>
      <c r="G713" s="10"/>
      <c r="H713" s="10"/>
      <c r="I713" s="10"/>
      <c r="J713" s="10"/>
      <c r="K713" s="17">
        <v>4154.55</v>
      </c>
      <c r="L713" s="10"/>
      <c r="M713" s="10"/>
      <c r="N713" s="10"/>
      <c r="O713" s="10"/>
      <c r="P713" s="10"/>
      <c r="Q713" s="29">
        <f t="shared" si="246"/>
        <v>4867.360000000001</v>
      </c>
    </row>
    <row r="714" spans="1:17" ht="12.75">
      <c r="A714" s="11"/>
      <c r="B714" s="12"/>
      <c r="C714" s="13"/>
      <c r="D714" s="27"/>
      <c r="E714" s="10" t="s">
        <v>31</v>
      </c>
      <c r="F714" s="10">
        <v>1731.51</v>
      </c>
      <c r="G714" s="10"/>
      <c r="H714" s="17">
        <v>120</v>
      </c>
      <c r="I714" s="10"/>
      <c r="J714" s="10"/>
      <c r="K714" s="17">
        <v>4154.55</v>
      </c>
      <c r="L714" s="10"/>
      <c r="M714" s="10"/>
      <c r="N714" s="10"/>
      <c r="O714" s="10"/>
      <c r="P714" s="10"/>
      <c r="Q714" s="29">
        <f t="shared" si="246"/>
        <v>6006.06</v>
      </c>
    </row>
    <row r="715" spans="1:17" ht="12">
      <c r="A715" s="11"/>
      <c r="B715" s="12"/>
      <c r="C715" s="13"/>
      <c r="D715" s="27"/>
      <c r="E715" s="14" t="s">
        <v>32</v>
      </c>
      <c r="F715" s="14">
        <f aca="true" t="shared" si="249" ref="F715:P715">SUM(F712:F714)</f>
        <v>4298.08</v>
      </c>
      <c r="G715" s="14">
        <f t="shared" si="249"/>
        <v>0</v>
      </c>
      <c r="H715" s="14">
        <f t="shared" si="249"/>
        <v>240</v>
      </c>
      <c r="I715" s="14">
        <f t="shared" si="249"/>
        <v>0</v>
      </c>
      <c r="J715" s="14">
        <f t="shared" si="249"/>
        <v>0</v>
      </c>
      <c r="K715" s="14">
        <f t="shared" si="249"/>
        <v>12463.650000000001</v>
      </c>
      <c r="L715" s="14">
        <f t="shared" si="249"/>
        <v>0</v>
      </c>
      <c r="M715" s="14">
        <f t="shared" si="249"/>
        <v>0</v>
      </c>
      <c r="N715" s="14">
        <f t="shared" si="249"/>
        <v>0</v>
      </c>
      <c r="O715" s="14">
        <f t="shared" si="249"/>
        <v>0</v>
      </c>
      <c r="P715" s="14">
        <f t="shared" si="249"/>
        <v>0</v>
      </c>
      <c r="Q715" s="55">
        <f t="shared" si="246"/>
        <v>17001.730000000003</v>
      </c>
    </row>
    <row r="716" spans="1:17" ht="12.75">
      <c r="A716" s="11"/>
      <c r="B716" s="12"/>
      <c r="C716" s="13"/>
      <c r="D716" s="27"/>
      <c r="E716" s="10" t="s">
        <v>33</v>
      </c>
      <c r="F716" s="10">
        <v>1774.21</v>
      </c>
      <c r="G716" s="10"/>
      <c r="H716" s="17">
        <v>120</v>
      </c>
      <c r="I716" s="10"/>
      <c r="J716" s="10"/>
      <c r="K716" s="17">
        <v>4154.56</v>
      </c>
      <c r="L716" s="10"/>
      <c r="M716" s="10"/>
      <c r="N716" s="10"/>
      <c r="O716" s="10"/>
      <c r="P716" s="10"/>
      <c r="Q716" s="29">
        <f t="shared" si="246"/>
        <v>6048.77</v>
      </c>
    </row>
    <row r="717" spans="1:17" ht="12.75">
      <c r="A717" s="11"/>
      <c r="B717" s="12"/>
      <c r="C717" s="13"/>
      <c r="D717" s="27"/>
      <c r="E717" s="10" t="s">
        <v>34</v>
      </c>
      <c r="F717" s="10">
        <v>2645.89</v>
      </c>
      <c r="G717" s="10"/>
      <c r="H717" s="17">
        <v>120</v>
      </c>
      <c r="I717" s="10"/>
      <c r="J717" s="10"/>
      <c r="K717" s="17"/>
      <c r="L717" s="10"/>
      <c r="M717" s="10"/>
      <c r="N717" s="10"/>
      <c r="O717" s="10"/>
      <c r="P717" s="10"/>
      <c r="Q717" s="29">
        <f t="shared" si="246"/>
        <v>2765.89</v>
      </c>
    </row>
    <row r="718" spans="1:17" ht="12.75">
      <c r="A718" s="11"/>
      <c r="B718" s="12"/>
      <c r="C718" s="13"/>
      <c r="D718" s="27"/>
      <c r="E718" s="10" t="s">
        <v>35</v>
      </c>
      <c r="F718" s="10">
        <v>1847.54</v>
      </c>
      <c r="G718" s="10"/>
      <c r="H718" s="18">
        <v>120</v>
      </c>
      <c r="I718" s="10"/>
      <c r="J718" s="10"/>
      <c r="K718" s="10"/>
      <c r="L718" s="10"/>
      <c r="M718" s="10"/>
      <c r="N718" s="10"/>
      <c r="O718" s="10"/>
      <c r="P718" s="10"/>
      <c r="Q718" s="29">
        <f t="shared" si="246"/>
        <v>1967.54</v>
      </c>
    </row>
    <row r="719" spans="1:17" ht="12">
      <c r="A719" s="11"/>
      <c r="B719" s="12"/>
      <c r="C719" s="13"/>
      <c r="D719" s="27"/>
      <c r="E719" s="14" t="s">
        <v>36</v>
      </c>
      <c r="F719" s="14">
        <f aca="true" t="shared" si="250" ref="F719:P719">SUM(F716:F718)</f>
        <v>6267.64</v>
      </c>
      <c r="G719" s="14">
        <f t="shared" si="250"/>
        <v>0</v>
      </c>
      <c r="H719" s="14">
        <f t="shared" si="250"/>
        <v>360</v>
      </c>
      <c r="I719" s="14">
        <f t="shared" si="250"/>
        <v>0</v>
      </c>
      <c r="J719" s="14">
        <f t="shared" si="250"/>
        <v>0</v>
      </c>
      <c r="K719" s="14">
        <f t="shared" si="250"/>
        <v>4154.56</v>
      </c>
      <c r="L719" s="14">
        <f t="shared" si="250"/>
        <v>0</v>
      </c>
      <c r="M719" s="14">
        <f t="shared" si="250"/>
        <v>0</v>
      </c>
      <c r="N719" s="14">
        <f t="shared" si="250"/>
        <v>0</v>
      </c>
      <c r="O719" s="14">
        <f t="shared" si="250"/>
        <v>0</v>
      </c>
      <c r="P719" s="14">
        <f t="shared" si="250"/>
        <v>0</v>
      </c>
      <c r="Q719" s="55">
        <f t="shared" si="246"/>
        <v>10782.2</v>
      </c>
    </row>
    <row r="720" spans="1:17" ht="12.75" thickBot="1">
      <c r="A720" s="11"/>
      <c r="B720" s="12"/>
      <c r="C720" s="13"/>
      <c r="D720" s="27"/>
      <c r="E720" s="22" t="s">
        <v>37</v>
      </c>
      <c r="F720" s="22">
        <f aca="true" t="shared" si="251" ref="F720:Q720">F707+F711+F715+F719</f>
        <v>21357.18</v>
      </c>
      <c r="G720" s="22">
        <f t="shared" si="251"/>
        <v>0</v>
      </c>
      <c r="H720" s="22">
        <f t="shared" si="251"/>
        <v>1200</v>
      </c>
      <c r="I720" s="22">
        <f t="shared" si="251"/>
        <v>0</v>
      </c>
      <c r="J720" s="22">
        <f t="shared" si="251"/>
        <v>0</v>
      </c>
      <c r="K720" s="22">
        <f t="shared" si="251"/>
        <v>16876.370000000003</v>
      </c>
      <c r="L720" s="22">
        <f t="shared" si="251"/>
        <v>0</v>
      </c>
      <c r="M720" s="22">
        <f t="shared" si="251"/>
        <v>0</v>
      </c>
      <c r="N720" s="22">
        <f t="shared" si="251"/>
        <v>0</v>
      </c>
      <c r="O720" s="22">
        <f t="shared" si="251"/>
        <v>0</v>
      </c>
      <c r="P720" s="35">
        <f t="shared" si="251"/>
        <v>0</v>
      </c>
      <c r="Q720" s="23">
        <f t="shared" si="251"/>
        <v>39433.55</v>
      </c>
    </row>
    <row r="721" spans="1:17" ht="12">
      <c r="A721" s="11">
        <v>43</v>
      </c>
      <c r="B721" s="12">
        <v>7</v>
      </c>
      <c r="C721" s="13" t="s">
        <v>120</v>
      </c>
      <c r="D721" s="27" t="s">
        <v>121</v>
      </c>
      <c r="E721" s="10" t="s">
        <v>21</v>
      </c>
      <c r="F721" s="10">
        <v>1366.57</v>
      </c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29">
        <f aca="true" t="shared" si="252" ref="Q721:Q736">SUM(F721:P721)</f>
        <v>1366.57</v>
      </c>
    </row>
    <row r="722" spans="1:17" ht="12">
      <c r="A722" s="11"/>
      <c r="B722" s="12"/>
      <c r="C722" s="13"/>
      <c r="D722" s="27"/>
      <c r="E722" s="10" t="s">
        <v>22</v>
      </c>
      <c r="F722" s="10">
        <v>942.16</v>
      </c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29">
        <f t="shared" si="252"/>
        <v>942.16</v>
      </c>
    </row>
    <row r="723" spans="1:17" ht="12">
      <c r="A723" s="11"/>
      <c r="B723" s="12"/>
      <c r="C723" s="13"/>
      <c r="D723" s="27"/>
      <c r="E723" s="10" t="s">
        <v>23</v>
      </c>
      <c r="F723" s="10">
        <v>1407.47</v>
      </c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29">
        <f t="shared" si="252"/>
        <v>1407.47</v>
      </c>
    </row>
    <row r="724" spans="1:17" ht="12">
      <c r="A724" s="11"/>
      <c r="B724" s="12"/>
      <c r="C724" s="13"/>
      <c r="D724" s="27"/>
      <c r="E724" s="14" t="s">
        <v>24</v>
      </c>
      <c r="F724" s="14">
        <f aca="true" t="shared" si="253" ref="F724:P724">SUM(F721:F723)</f>
        <v>3716.2</v>
      </c>
      <c r="G724" s="14">
        <f t="shared" si="253"/>
        <v>0</v>
      </c>
      <c r="H724" s="14">
        <f t="shared" si="253"/>
        <v>0</v>
      </c>
      <c r="I724" s="14">
        <f t="shared" si="253"/>
        <v>0</v>
      </c>
      <c r="J724" s="14">
        <f t="shared" si="253"/>
        <v>0</v>
      </c>
      <c r="K724" s="14">
        <f t="shared" si="253"/>
        <v>0</v>
      </c>
      <c r="L724" s="14">
        <f t="shared" si="253"/>
        <v>0</v>
      </c>
      <c r="M724" s="14">
        <f t="shared" si="253"/>
        <v>0</v>
      </c>
      <c r="N724" s="14">
        <f t="shared" si="253"/>
        <v>0</v>
      </c>
      <c r="O724" s="14">
        <f t="shared" si="253"/>
        <v>0</v>
      </c>
      <c r="P724" s="14">
        <f t="shared" si="253"/>
        <v>0</v>
      </c>
      <c r="Q724" s="55">
        <f t="shared" si="252"/>
        <v>3716.2</v>
      </c>
    </row>
    <row r="725" spans="1:17" ht="12">
      <c r="A725" s="11"/>
      <c r="B725" s="12"/>
      <c r="C725" s="13"/>
      <c r="D725" s="27"/>
      <c r="E725" s="10" t="s">
        <v>25</v>
      </c>
      <c r="F725" s="10">
        <v>1123.63</v>
      </c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29">
        <f t="shared" si="252"/>
        <v>1123.63</v>
      </c>
    </row>
    <row r="726" spans="1:17" ht="12">
      <c r="A726" s="11"/>
      <c r="B726" s="12"/>
      <c r="C726" s="13"/>
      <c r="D726" s="27"/>
      <c r="E726" s="10" t="s">
        <v>26</v>
      </c>
      <c r="F726" s="10">
        <v>675.4</v>
      </c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29">
        <f t="shared" si="252"/>
        <v>675.4</v>
      </c>
    </row>
    <row r="727" spans="1:17" ht="12">
      <c r="A727" s="11"/>
      <c r="B727" s="12"/>
      <c r="C727" s="13"/>
      <c r="D727" s="27"/>
      <c r="E727" s="10" t="s">
        <v>27</v>
      </c>
      <c r="F727" s="10">
        <v>1626.96</v>
      </c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29">
        <f t="shared" si="252"/>
        <v>1626.96</v>
      </c>
    </row>
    <row r="728" spans="1:17" ht="12">
      <c r="A728" s="11"/>
      <c r="B728" s="12"/>
      <c r="C728" s="13"/>
      <c r="D728" s="27"/>
      <c r="E728" s="14" t="s">
        <v>28</v>
      </c>
      <c r="F728" s="14">
        <f aca="true" t="shared" si="254" ref="F728:P728">SUM(F725:F727)</f>
        <v>3425.9900000000002</v>
      </c>
      <c r="G728" s="14">
        <f t="shared" si="254"/>
        <v>0</v>
      </c>
      <c r="H728" s="14">
        <f t="shared" si="254"/>
        <v>0</v>
      </c>
      <c r="I728" s="14">
        <f t="shared" si="254"/>
        <v>0</v>
      </c>
      <c r="J728" s="14">
        <f t="shared" si="254"/>
        <v>0</v>
      </c>
      <c r="K728" s="14">
        <f t="shared" si="254"/>
        <v>0</v>
      </c>
      <c r="L728" s="14">
        <f t="shared" si="254"/>
        <v>0</v>
      </c>
      <c r="M728" s="14">
        <f t="shared" si="254"/>
        <v>0</v>
      </c>
      <c r="N728" s="14">
        <f t="shared" si="254"/>
        <v>0</v>
      </c>
      <c r="O728" s="14">
        <f t="shared" si="254"/>
        <v>0</v>
      </c>
      <c r="P728" s="14">
        <f t="shared" si="254"/>
        <v>0</v>
      </c>
      <c r="Q728" s="55">
        <f t="shared" si="252"/>
        <v>3425.9900000000002</v>
      </c>
    </row>
    <row r="729" spans="1:17" ht="12">
      <c r="A729" s="11"/>
      <c r="B729" s="12"/>
      <c r="C729" s="13"/>
      <c r="D729" s="27"/>
      <c r="E729" s="10" t="s">
        <v>29</v>
      </c>
      <c r="F729" s="16">
        <v>1572.17</v>
      </c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29">
        <f t="shared" si="252"/>
        <v>1572.17</v>
      </c>
    </row>
    <row r="730" spans="1:17" ht="12.75">
      <c r="A730" s="11"/>
      <c r="B730" s="12"/>
      <c r="C730" s="13"/>
      <c r="D730" s="27"/>
      <c r="E730" s="10" t="s">
        <v>30</v>
      </c>
      <c r="F730" s="17">
        <v>480.92</v>
      </c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29">
        <f t="shared" si="252"/>
        <v>480.92</v>
      </c>
    </row>
    <row r="731" spans="1:17" ht="12.75">
      <c r="A731" s="11"/>
      <c r="B731" s="12"/>
      <c r="C731" s="13"/>
      <c r="D731" s="27"/>
      <c r="E731" s="10" t="s">
        <v>31</v>
      </c>
      <c r="F731" s="17">
        <v>1955.51</v>
      </c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29">
        <f t="shared" si="252"/>
        <v>1955.51</v>
      </c>
    </row>
    <row r="732" spans="1:17" ht="12">
      <c r="A732" s="11"/>
      <c r="B732" s="12"/>
      <c r="C732" s="13"/>
      <c r="D732" s="27"/>
      <c r="E732" s="14" t="s">
        <v>32</v>
      </c>
      <c r="F732" s="14">
        <f aca="true" t="shared" si="255" ref="F732:P732">SUM(F729:F731)</f>
        <v>4008.6000000000004</v>
      </c>
      <c r="G732" s="14">
        <f t="shared" si="255"/>
        <v>0</v>
      </c>
      <c r="H732" s="14">
        <f t="shared" si="255"/>
        <v>0</v>
      </c>
      <c r="I732" s="14">
        <f t="shared" si="255"/>
        <v>0</v>
      </c>
      <c r="J732" s="14">
        <f t="shared" si="255"/>
        <v>0</v>
      </c>
      <c r="K732" s="14">
        <f t="shared" si="255"/>
        <v>0</v>
      </c>
      <c r="L732" s="14">
        <f t="shared" si="255"/>
        <v>0</v>
      </c>
      <c r="M732" s="14">
        <f t="shared" si="255"/>
        <v>0</v>
      </c>
      <c r="N732" s="14">
        <f t="shared" si="255"/>
        <v>0</v>
      </c>
      <c r="O732" s="14">
        <f t="shared" si="255"/>
        <v>0</v>
      </c>
      <c r="P732" s="14">
        <f t="shared" si="255"/>
        <v>0</v>
      </c>
      <c r="Q732" s="55">
        <f t="shared" si="252"/>
        <v>4008.6000000000004</v>
      </c>
    </row>
    <row r="733" spans="1:17" ht="12.75">
      <c r="A733" s="11"/>
      <c r="B733" s="12"/>
      <c r="C733" s="13"/>
      <c r="D733" s="27"/>
      <c r="E733" s="10" t="s">
        <v>33</v>
      </c>
      <c r="F733" s="17">
        <v>765.21</v>
      </c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29">
        <f t="shared" si="252"/>
        <v>765.21</v>
      </c>
    </row>
    <row r="734" spans="1:17" ht="12.75">
      <c r="A734" s="11"/>
      <c r="B734" s="12"/>
      <c r="C734" s="13"/>
      <c r="D734" s="27"/>
      <c r="E734" s="10" t="s">
        <v>34</v>
      </c>
      <c r="F734" s="17">
        <v>1171.76</v>
      </c>
      <c r="G734" s="10"/>
      <c r="H734" s="10"/>
      <c r="I734" s="10"/>
      <c r="J734" s="10"/>
      <c r="K734" s="17">
        <v>648.19</v>
      </c>
      <c r="L734" s="10"/>
      <c r="M734" s="10"/>
      <c r="N734" s="10"/>
      <c r="O734" s="10"/>
      <c r="P734" s="10"/>
      <c r="Q734" s="29">
        <f t="shared" si="252"/>
        <v>1819.95</v>
      </c>
    </row>
    <row r="735" spans="1:17" ht="12.75">
      <c r="A735" s="11"/>
      <c r="B735" s="12"/>
      <c r="C735" s="13"/>
      <c r="D735" s="27"/>
      <c r="E735" s="10" t="s">
        <v>35</v>
      </c>
      <c r="F735" s="18">
        <v>2449.88</v>
      </c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29">
        <f t="shared" si="252"/>
        <v>2449.88</v>
      </c>
    </row>
    <row r="736" spans="1:17" ht="12">
      <c r="A736" s="11"/>
      <c r="B736" s="12"/>
      <c r="C736" s="13"/>
      <c r="D736" s="27"/>
      <c r="E736" s="14" t="s">
        <v>36</v>
      </c>
      <c r="F736" s="14">
        <f aca="true" t="shared" si="256" ref="F736:P736">SUM(F733:F735)</f>
        <v>4386.85</v>
      </c>
      <c r="G736" s="14">
        <f t="shared" si="256"/>
        <v>0</v>
      </c>
      <c r="H736" s="14">
        <f t="shared" si="256"/>
        <v>0</v>
      </c>
      <c r="I736" s="14">
        <f t="shared" si="256"/>
        <v>0</v>
      </c>
      <c r="J736" s="14">
        <f t="shared" si="256"/>
        <v>0</v>
      </c>
      <c r="K736" s="14">
        <f t="shared" si="256"/>
        <v>648.19</v>
      </c>
      <c r="L736" s="14">
        <f t="shared" si="256"/>
        <v>0</v>
      </c>
      <c r="M736" s="14">
        <f t="shared" si="256"/>
        <v>0</v>
      </c>
      <c r="N736" s="14">
        <f t="shared" si="256"/>
        <v>0</v>
      </c>
      <c r="O736" s="14">
        <f t="shared" si="256"/>
        <v>0</v>
      </c>
      <c r="P736" s="14">
        <f t="shared" si="256"/>
        <v>0</v>
      </c>
      <c r="Q736" s="55">
        <f t="shared" si="252"/>
        <v>5035.040000000001</v>
      </c>
    </row>
    <row r="737" spans="1:17" ht="12.75" thickBot="1">
      <c r="A737" s="11"/>
      <c r="B737" s="12"/>
      <c r="C737" s="13"/>
      <c r="D737" s="27"/>
      <c r="E737" s="22" t="s">
        <v>37</v>
      </c>
      <c r="F737" s="22">
        <f aca="true" t="shared" si="257" ref="F737:Q737">F724+F728+F732+F736</f>
        <v>15537.640000000001</v>
      </c>
      <c r="G737" s="22">
        <f t="shared" si="257"/>
        <v>0</v>
      </c>
      <c r="H737" s="22">
        <f t="shared" si="257"/>
        <v>0</v>
      </c>
      <c r="I737" s="22">
        <f t="shared" si="257"/>
        <v>0</v>
      </c>
      <c r="J737" s="22">
        <f t="shared" si="257"/>
        <v>0</v>
      </c>
      <c r="K737" s="22">
        <f t="shared" si="257"/>
        <v>648.19</v>
      </c>
      <c r="L737" s="22">
        <f t="shared" si="257"/>
        <v>0</v>
      </c>
      <c r="M737" s="22">
        <f t="shared" si="257"/>
        <v>0</v>
      </c>
      <c r="N737" s="22">
        <f t="shared" si="257"/>
        <v>0</v>
      </c>
      <c r="O737" s="22">
        <f t="shared" si="257"/>
        <v>0</v>
      </c>
      <c r="P737" s="35">
        <f t="shared" si="257"/>
        <v>0</v>
      </c>
      <c r="Q737" s="23">
        <f t="shared" si="257"/>
        <v>16185.830000000002</v>
      </c>
    </row>
    <row r="738" spans="1:17" ht="12">
      <c r="A738" s="11">
        <v>44</v>
      </c>
      <c r="B738" s="12">
        <v>34</v>
      </c>
      <c r="C738" s="13" t="s">
        <v>122</v>
      </c>
      <c r="D738" s="27" t="s">
        <v>123</v>
      </c>
      <c r="E738" s="10" t="s">
        <v>21</v>
      </c>
      <c r="F738" s="10">
        <v>36277.01</v>
      </c>
      <c r="G738" s="10"/>
      <c r="H738" s="10">
        <v>2880</v>
      </c>
      <c r="I738" s="10"/>
      <c r="J738" s="10"/>
      <c r="K738" s="10">
        <v>236.45</v>
      </c>
      <c r="L738" s="10"/>
      <c r="M738" s="10"/>
      <c r="N738" s="10"/>
      <c r="O738" s="10">
        <v>820.69</v>
      </c>
      <c r="P738" s="10"/>
      <c r="Q738" s="29">
        <f aca="true" t="shared" si="258" ref="Q738:Q753">SUM(F738:P738)</f>
        <v>40214.15</v>
      </c>
    </row>
    <row r="739" spans="1:17" ht="12">
      <c r="A739" s="11"/>
      <c r="B739" s="12"/>
      <c r="C739" s="13"/>
      <c r="D739" s="27"/>
      <c r="E739" s="10" t="s">
        <v>22</v>
      </c>
      <c r="F739" s="10">
        <v>26197.28</v>
      </c>
      <c r="G739" s="10"/>
      <c r="H739" s="10">
        <v>2040</v>
      </c>
      <c r="I739" s="10"/>
      <c r="J739" s="10"/>
      <c r="K739" s="10">
        <v>12081.09</v>
      </c>
      <c r="L739" s="10"/>
      <c r="M739" s="10"/>
      <c r="N739" s="10"/>
      <c r="O739" s="10">
        <v>2472.06</v>
      </c>
      <c r="P739" s="10"/>
      <c r="Q739" s="29">
        <f t="shared" si="258"/>
        <v>42790.42999999999</v>
      </c>
    </row>
    <row r="740" spans="1:17" ht="12">
      <c r="A740" s="11"/>
      <c r="B740" s="12"/>
      <c r="C740" s="13"/>
      <c r="D740" s="27"/>
      <c r="E740" s="10" t="s">
        <v>23</v>
      </c>
      <c r="F740" s="10">
        <v>39250.38</v>
      </c>
      <c r="G740" s="10"/>
      <c r="H740" s="10">
        <v>2520</v>
      </c>
      <c r="I740" s="10"/>
      <c r="J740" s="10"/>
      <c r="K740" s="10">
        <v>10939.19</v>
      </c>
      <c r="L740" s="10"/>
      <c r="M740" s="10"/>
      <c r="N740" s="10"/>
      <c r="O740" s="10"/>
      <c r="P740" s="10"/>
      <c r="Q740" s="29">
        <f t="shared" si="258"/>
        <v>52709.57</v>
      </c>
    </row>
    <row r="741" spans="1:17" ht="12">
      <c r="A741" s="11"/>
      <c r="B741" s="12"/>
      <c r="C741" s="13"/>
      <c r="D741" s="27"/>
      <c r="E741" s="14" t="s">
        <v>24</v>
      </c>
      <c r="F741" s="14">
        <f aca="true" t="shared" si="259" ref="F741:P741">SUM(F738:F740)</f>
        <v>101724.67</v>
      </c>
      <c r="G741" s="14">
        <f t="shared" si="259"/>
        <v>0</v>
      </c>
      <c r="H741" s="14">
        <f t="shared" si="259"/>
        <v>7440</v>
      </c>
      <c r="I741" s="14">
        <f t="shared" si="259"/>
        <v>0</v>
      </c>
      <c r="J741" s="14">
        <f t="shared" si="259"/>
        <v>0</v>
      </c>
      <c r="K741" s="14">
        <f t="shared" si="259"/>
        <v>23256.730000000003</v>
      </c>
      <c r="L741" s="14">
        <f t="shared" si="259"/>
        <v>0</v>
      </c>
      <c r="M741" s="14">
        <f t="shared" si="259"/>
        <v>0</v>
      </c>
      <c r="N741" s="14">
        <f t="shared" si="259"/>
        <v>0</v>
      </c>
      <c r="O741" s="14">
        <f t="shared" si="259"/>
        <v>3292.75</v>
      </c>
      <c r="P741" s="14">
        <f t="shared" si="259"/>
        <v>0</v>
      </c>
      <c r="Q741" s="55">
        <f t="shared" si="258"/>
        <v>135714.15</v>
      </c>
    </row>
    <row r="742" spans="1:17" ht="12">
      <c r="A742" s="11"/>
      <c r="B742" s="12"/>
      <c r="C742" s="13"/>
      <c r="D742" s="27"/>
      <c r="E742" s="10" t="s">
        <v>25</v>
      </c>
      <c r="F742" s="10">
        <v>34539.13</v>
      </c>
      <c r="G742" s="10"/>
      <c r="H742" s="10">
        <v>2880</v>
      </c>
      <c r="I742" s="10"/>
      <c r="J742" s="10"/>
      <c r="K742" s="10">
        <v>10627.36</v>
      </c>
      <c r="L742" s="10"/>
      <c r="M742" s="10"/>
      <c r="N742" s="10"/>
      <c r="O742" s="10"/>
      <c r="P742" s="10"/>
      <c r="Q742" s="29">
        <f t="shared" si="258"/>
        <v>48046.49</v>
      </c>
    </row>
    <row r="743" spans="1:17" ht="12">
      <c r="A743" s="11"/>
      <c r="B743" s="12"/>
      <c r="C743" s="13"/>
      <c r="D743" s="27"/>
      <c r="E743" s="10" t="s">
        <v>26</v>
      </c>
      <c r="F743" s="10">
        <v>46980.56</v>
      </c>
      <c r="G743" s="10"/>
      <c r="H743" s="10">
        <v>4080</v>
      </c>
      <c r="I743" s="10"/>
      <c r="J743" s="10"/>
      <c r="K743" s="10">
        <v>13033.25</v>
      </c>
      <c r="L743" s="10"/>
      <c r="M743" s="10"/>
      <c r="N743" s="10"/>
      <c r="O743" s="10"/>
      <c r="P743" s="10"/>
      <c r="Q743" s="29">
        <f t="shared" si="258"/>
        <v>64093.81</v>
      </c>
    </row>
    <row r="744" spans="1:17" ht="12">
      <c r="A744" s="11"/>
      <c r="B744" s="12"/>
      <c r="C744" s="13"/>
      <c r="D744" s="27"/>
      <c r="E744" s="10" t="s">
        <v>27</v>
      </c>
      <c r="F744" s="15">
        <f>36489.06-36489.06</f>
        <v>0</v>
      </c>
      <c r="G744" s="10"/>
      <c r="H744" s="10">
        <v>2400</v>
      </c>
      <c r="I744" s="10"/>
      <c r="J744" s="10"/>
      <c r="K744" s="10">
        <v>10627.36</v>
      </c>
      <c r="L744" s="10"/>
      <c r="M744" s="10"/>
      <c r="N744" s="10"/>
      <c r="O744" s="10"/>
      <c r="P744" s="10"/>
      <c r="Q744" s="29">
        <f t="shared" si="258"/>
        <v>13027.36</v>
      </c>
    </row>
    <row r="745" spans="1:17" ht="12">
      <c r="A745" s="11"/>
      <c r="B745" s="12"/>
      <c r="C745" s="13"/>
      <c r="D745" s="27"/>
      <c r="E745" s="14" t="s">
        <v>28</v>
      </c>
      <c r="F745" s="14">
        <f aca="true" t="shared" si="260" ref="F745:P745">SUM(F742:F744)</f>
        <v>81519.69</v>
      </c>
      <c r="G745" s="14">
        <f t="shared" si="260"/>
        <v>0</v>
      </c>
      <c r="H745" s="14">
        <f t="shared" si="260"/>
        <v>9360</v>
      </c>
      <c r="I745" s="14">
        <f t="shared" si="260"/>
        <v>0</v>
      </c>
      <c r="J745" s="14">
        <f t="shared" si="260"/>
        <v>0</v>
      </c>
      <c r="K745" s="14">
        <f t="shared" si="260"/>
        <v>34287.97</v>
      </c>
      <c r="L745" s="14">
        <f t="shared" si="260"/>
        <v>0</v>
      </c>
      <c r="M745" s="14">
        <f t="shared" si="260"/>
        <v>0</v>
      </c>
      <c r="N745" s="14">
        <f t="shared" si="260"/>
        <v>0</v>
      </c>
      <c r="O745" s="14">
        <f t="shared" si="260"/>
        <v>0</v>
      </c>
      <c r="P745" s="14">
        <f t="shared" si="260"/>
        <v>0</v>
      </c>
      <c r="Q745" s="55">
        <f t="shared" si="258"/>
        <v>125167.66</v>
      </c>
    </row>
    <row r="746" spans="1:17" ht="12">
      <c r="A746" s="11"/>
      <c r="B746" s="12"/>
      <c r="C746" s="13"/>
      <c r="D746" s="27"/>
      <c r="E746" s="10" t="s">
        <v>29</v>
      </c>
      <c r="F746" s="15">
        <f>36489.06+50498.85</f>
        <v>86987.91</v>
      </c>
      <c r="G746" s="10"/>
      <c r="H746" s="16">
        <v>4320</v>
      </c>
      <c r="I746" s="10"/>
      <c r="J746" s="10"/>
      <c r="K746" s="16">
        <v>11388.41</v>
      </c>
      <c r="L746" s="10"/>
      <c r="M746" s="10"/>
      <c r="N746" s="10"/>
      <c r="O746" s="16">
        <v>6954.59</v>
      </c>
      <c r="P746" s="10"/>
      <c r="Q746" s="29">
        <f t="shared" si="258"/>
        <v>109650.91</v>
      </c>
    </row>
    <row r="747" spans="1:17" ht="12.75">
      <c r="A747" s="11"/>
      <c r="B747" s="12"/>
      <c r="C747" s="13"/>
      <c r="D747" s="27"/>
      <c r="E747" s="10" t="s">
        <v>30</v>
      </c>
      <c r="F747" s="10">
        <v>46898.85</v>
      </c>
      <c r="G747" s="10"/>
      <c r="H747" s="17">
        <v>3960</v>
      </c>
      <c r="I747" s="10"/>
      <c r="J747" s="10"/>
      <c r="K747" s="17">
        <v>11560.89</v>
      </c>
      <c r="L747" s="10"/>
      <c r="M747" s="10"/>
      <c r="N747" s="10"/>
      <c r="O747" s="10"/>
      <c r="P747" s="10"/>
      <c r="Q747" s="29">
        <f t="shared" si="258"/>
        <v>62419.74</v>
      </c>
    </row>
    <row r="748" spans="1:17" ht="12.75">
      <c r="A748" s="11"/>
      <c r="B748" s="12"/>
      <c r="C748" s="13"/>
      <c r="D748" s="27"/>
      <c r="E748" s="10" t="s">
        <v>31</v>
      </c>
      <c r="F748" s="10">
        <v>30620.989999999998</v>
      </c>
      <c r="G748" s="10"/>
      <c r="H748" s="17">
        <v>2280</v>
      </c>
      <c r="I748" s="10"/>
      <c r="J748" s="10"/>
      <c r="K748" s="17">
        <v>10627.36</v>
      </c>
      <c r="L748" s="10"/>
      <c r="M748" s="10"/>
      <c r="N748" s="10"/>
      <c r="O748" s="17">
        <v>1983.87</v>
      </c>
      <c r="P748" s="10"/>
      <c r="Q748" s="29">
        <f t="shared" si="258"/>
        <v>45512.22</v>
      </c>
    </row>
    <row r="749" spans="1:17" ht="12">
      <c r="A749" s="11"/>
      <c r="B749" s="12"/>
      <c r="C749" s="13"/>
      <c r="D749" s="27"/>
      <c r="E749" s="14" t="s">
        <v>32</v>
      </c>
      <c r="F749" s="14">
        <f aca="true" t="shared" si="261" ref="F749:P749">SUM(F746:F748)</f>
        <v>164507.75</v>
      </c>
      <c r="G749" s="14">
        <f t="shared" si="261"/>
        <v>0</v>
      </c>
      <c r="H749" s="14">
        <f t="shared" si="261"/>
        <v>10560</v>
      </c>
      <c r="I749" s="14">
        <f t="shared" si="261"/>
        <v>0</v>
      </c>
      <c r="J749" s="14">
        <f t="shared" si="261"/>
        <v>0</v>
      </c>
      <c r="K749" s="14">
        <f t="shared" si="261"/>
        <v>33576.66</v>
      </c>
      <c r="L749" s="14">
        <f t="shared" si="261"/>
        <v>0</v>
      </c>
      <c r="M749" s="14">
        <f t="shared" si="261"/>
        <v>0</v>
      </c>
      <c r="N749" s="14">
        <f t="shared" si="261"/>
        <v>0</v>
      </c>
      <c r="O749" s="14">
        <f t="shared" si="261"/>
        <v>8938.46</v>
      </c>
      <c r="P749" s="14">
        <f t="shared" si="261"/>
        <v>0</v>
      </c>
      <c r="Q749" s="55">
        <f t="shared" si="258"/>
        <v>217582.87</v>
      </c>
    </row>
    <row r="750" spans="1:17" ht="12">
      <c r="A750" s="11"/>
      <c r="B750" s="12"/>
      <c r="C750" s="13"/>
      <c r="D750" s="27"/>
      <c r="E750" s="10" t="s">
        <v>33</v>
      </c>
      <c r="F750" s="10">
        <v>22879.52</v>
      </c>
      <c r="G750" s="10"/>
      <c r="H750" s="10">
        <v>1080</v>
      </c>
      <c r="I750" s="10"/>
      <c r="J750" s="10"/>
      <c r="K750" s="10">
        <v>11573.09</v>
      </c>
      <c r="L750" s="10"/>
      <c r="M750" s="10"/>
      <c r="N750" s="10"/>
      <c r="O750" s="10">
        <v>2335.58</v>
      </c>
      <c r="P750" s="10">
        <v>14853.26</v>
      </c>
      <c r="Q750" s="29">
        <f t="shared" si="258"/>
        <v>52721.450000000004</v>
      </c>
    </row>
    <row r="751" spans="1:17" ht="12.75">
      <c r="A751" s="11"/>
      <c r="B751" s="12"/>
      <c r="C751" s="13"/>
      <c r="D751" s="27"/>
      <c r="E751" s="10" t="s">
        <v>34</v>
      </c>
      <c r="F751" s="10">
        <v>68997.11</v>
      </c>
      <c r="G751" s="10"/>
      <c r="H751" s="17">
        <v>6600</v>
      </c>
      <c r="I751" s="10"/>
      <c r="J751" s="17">
        <v>480</v>
      </c>
      <c r="K751" s="17">
        <v>11501.2</v>
      </c>
      <c r="L751" s="10"/>
      <c r="M751" s="10"/>
      <c r="N751" s="10"/>
      <c r="O751" s="10"/>
      <c r="P751" s="10"/>
      <c r="Q751" s="29">
        <f t="shared" si="258"/>
        <v>87578.31</v>
      </c>
    </row>
    <row r="752" spans="1:17" ht="12.75">
      <c r="A752" s="11"/>
      <c r="B752" s="12"/>
      <c r="C752" s="13"/>
      <c r="D752" s="27"/>
      <c r="E752" s="10" t="s">
        <v>35</v>
      </c>
      <c r="F752" s="10">
        <v>29816.14</v>
      </c>
      <c r="G752" s="10"/>
      <c r="H752" s="18">
        <v>1800</v>
      </c>
      <c r="I752" s="10"/>
      <c r="J752" s="10"/>
      <c r="K752" s="10"/>
      <c r="L752" s="10"/>
      <c r="M752" s="10"/>
      <c r="N752" s="10"/>
      <c r="O752" s="18">
        <v>6001.21</v>
      </c>
      <c r="P752" s="18">
        <v>14853.26</v>
      </c>
      <c r="Q752" s="29">
        <f t="shared" si="258"/>
        <v>52470.61</v>
      </c>
    </row>
    <row r="753" spans="1:17" ht="12">
      <c r="A753" s="11"/>
      <c r="B753" s="12"/>
      <c r="C753" s="13"/>
      <c r="D753" s="27"/>
      <c r="E753" s="14" t="s">
        <v>36</v>
      </c>
      <c r="F753" s="14">
        <f aca="true" t="shared" si="262" ref="F753:P753">SUM(F750:F752)</f>
        <v>121692.77</v>
      </c>
      <c r="G753" s="14">
        <f t="shared" si="262"/>
        <v>0</v>
      </c>
      <c r="H753" s="14">
        <f t="shared" si="262"/>
        <v>9480</v>
      </c>
      <c r="I753" s="14">
        <f t="shared" si="262"/>
        <v>0</v>
      </c>
      <c r="J753" s="14">
        <f t="shared" si="262"/>
        <v>480</v>
      </c>
      <c r="K753" s="14">
        <f t="shared" si="262"/>
        <v>23074.29</v>
      </c>
      <c r="L753" s="14">
        <f t="shared" si="262"/>
        <v>0</v>
      </c>
      <c r="M753" s="14">
        <f t="shared" si="262"/>
        <v>0</v>
      </c>
      <c r="N753" s="14">
        <f t="shared" si="262"/>
        <v>0</v>
      </c>
      <c r="O753" s="14">
        <f t="shared" si="262"/>
        <v>8336.79</v>
      </c>
      <c r="P753" s="14">
        <f t="shared" si="262"/>
        <v>29706.52</v>
      </c>
      <c r="Q753" s="55">
        <f t="shared" si="258"/>
        <v>192770.37000000002</v>
      </c>
    </row>
    <row r="754" spans="1:17" ht="12.75" thickBot="1">
      <c r="A754" s="11"/>
      <c r="B754" s="12"/>
      <c r="C754" s="13"/>
      <c r="D754" s="27"/>
      <c r="E754" s="22" t="s">
        <v>37</v>
      </c>
      <c r="F754" s="22">
        <f aca="true" t="shared" si="263" ref="F754:Q754">F741+F745+F749+F753</f>
        <v>469444.88</v>
      </c>
      <c r="G754" s="22">
        <f t="shared" si="263"/>
        <v>0</v>
      </c>
      <c r="H754" s="22">
        <f t="shared" si="263"/>
        <v>36840</v>
      </c>
      <c r="I754" s="22">
        <f t="shared" si="263"/>
        <v>0</v>
      </c>
      <c r="J754" s="22">
        <f t="shared" si="263"/>
        <v>480</v>
      </c>
      <c r="K754" s="22">
        <f t="shared" si="263"/>
        <v>114195.65000000002</v>
      </c>
      <c r="L754" s="22">
        <f t="shared" si="263"/>
        <v>0</v>
      </c>
      <c r="M754" s="22">
        <f t="shared" si="263"/>
        <v>0</v>
      </c>
      <c r="N754" s="22">
        <f t="shared" si="263"/>
        <v>0</v>
      </c>
      <c r="O754" s="22">
        <f t="shared" si="263"/>
        <v>20568</v>
      </c>
      <c r="P754" s="35">
        <f t="shared" si="263"/>
        <v>29706.52</v>
      </c>
      <c r="Q754" s="23">
        <f t="shared" si="263"/>
        <v>671235.05</v>
      </c>
    </row>
    <row r="755" spans="1:17" ht="12">
      <c r="A755" s="11">
        <v>45</v>
      </c>
      <c r="B755" s="12">
        <v>11</v>
      </c>
      <c r="C755" s="13" t="s">
        <v>124</v>
      </c>
      <c r="D755" s="38" t="s">
        <v>125</v>
      </c>
      <c r="E755" s="10" t="s">
        <v>21</v>
      </c>
      <c r="F755" s="10">
        <v>14197.55</v>
      </c>
      <c r="G755" s="10"/>
      <c r="H755" s="10">
        <v>600</v>
      </c>
      <c r="I755" s="10"/>
      <c r="J755" s="10"/>
      <c r="K755" s="10">
        <v>561.73</v>
      </c>
      <c r="L755" s="10"/>
      <c r="M755" s="10"/>
      <c r="N755" s="10"/>
      <c r="O755" s="10"/>
      <c r="P755" s="10"/>
      <c r="Q755" s="29">
        <f aca="true" t="shared" si="264" ref="Q755:Q770">SUM(F755:P755)</f>
        <v>15359.279999999999</v>
      </c>
    </row>
    <row r="756" spans="1:17" ht="12">
      <c r="A756" s="11"/>
      <c r="B756" s="12"/>
      <c r="C756" s="13"/>
      <c r="D756" s="10"/>
      <c r="E756" s="10" t="s">
        <v>22</v>
      </c>
      <c r="F756" s="10">
        <v>28471.17</v>
      </c>
      <c r="G756" s="10"/>
      <c r="H756" s="10">
        <v>2040</v>
      </c>
      <c r="I756" s="10"/>
      <c r="J756" s="10">
        <v>420</v>
      </c>
      <c r="K756" s="10">
        <v>798.09</v>
      </c>
      <c r="L756" s="10"/>
      <c r="M756" s="10"/>
      <c r="N756" s="10"/>
      <c r="O756" s="10">
        <v>648.91</v>
      </c>
      <c r="P756" s="10"/>
      <c r="Q756" s="29">
        <f t="shared" si="264"/>
        <v>32378.17</v>
      </c>
    </row>
    <row r="757" spans="1:17" ht="12">
      <c r="A757" s="11"/>
      <c r="B757" s="12"/>
      <c r="C757" s="13"/>
      <c r="D757" s="10"/>
      <c r="E757" s="10" t="s">
        <v>23</v>
      </c>
      <c r="F757" s="10">
        <v>29768.54</v>
      </c>
      <c r="G757" s="10"/>
      <c r="H757" s="10">
        <v>2040</v>
      </c>
      <c r="I757" s="10"/>
      <c r="J757" s="10"/>
      <c r="K757" s="10">
        <v>3231.63</v>
      </c>
      <c r="L757" s="10"/>
      <c r="M757" s="10"/>
      <c r="N757" s="10"/>
      <c r="O757" s="10">
        <v>6461.8</v>
      </c>
      <c r="P757" s="10"/>
      <c r="Q757" s="29">
        <f t="shared" si="264"/>
        <v>41501.97</v>
      </c>
    </row>
    <row r="758" spans="1:17" ht="12">
      <c r="A758" s="11"/>
      <c r="B758" s="12"/>
      <c r="C758" s="13"/>
      <c r="D758" s="10"/>
      <c r="E758" s="14" t="s">
        <v>24</v>
      </c>
      <c r="F758" s="14">
        <f aca="true" t="shared" si="265" ref="F758:P758">SUM(F755:F757)</f>
        <v>72437.26000000001</v>
      </c>
      <c r="G758" s="14">
        <f t="shared" si="265"/>
        <v>0</v>
      </c>
      <c r="H758" s="14">
        <f t="shared" si="265"/>
        <v>4680</v>
      </c>
      <c r="I758" s="14">
        <f t="shared" si="265"/>
        <v>0</v>
      </c>
      <c r="J758" s="14">
        <f t="shared" si="265"/>
        <v>420</v>
      </c>
      <c r="K758" s="14">
        <f t="shared" si="265"/>
        <v>4591.450000000001</v>
      </c>
      <c r="L758" s="14">
        <f t="shared" si="265"/>
        <v>0</v>
      </c>
      <c r="M758" s="14">
        <f t="shared" si="265"/>
        <v>0</v>
      </c>
      <c r="N758" s="14">
        <f t="shared" si="265"/>
        <v>0</v>
      </c>
      <c r="O758" s="14">
        <f t="shared" si="265"/>
        <v>7110.71</v>
      </c>
      <c r="P758" s="14">
        <f t="shared" si="265"/>
        <v>0</v>
      </c>
      <c r="Q758" s="55">
        <f t="shared" si="264"/>
        <v>89239.42000000001</v>
      </c>
    </row>
    <row r="759" spans="1:17" ht="12">
      <c r="A759" s="11"/>
      <c r="B759" s="12"/>
      <c r="C759" s="13"/>
      <c r="D759" s="10"/>
      <c r="E759" s="10" t="s">
        <v>25</v>
      </c>
      <c r="F759" s="10">
        <v>27701.44</v>
      </c>
      <c r="G759" s="10"/>
      <c r="H759" s="10">
        <v>2040</v>
      </c>
      <c r="I759" s="10"/>
      <c r="J759" s="10"/>
      <c r="K759" s="10">
        <v>922.26</v>
      </c>
      <c r="L759" s="10"/>
      <c r="M759" s="10"/>
      <c r="N759" s="10"/>
      <c r="O759" s="10">
        <v>4098.97</v>
      </c>
      <c r="P759" s="10"/>
      <c r="Q759" s="29">
        <f t="shared" si="264"/>
        <v>34762.67</v>
      </c>
    </row>
    <row r="760" spans="1:17" ht="12">
      <c r="A760" s="11"/>
      <c r="B760" s="12"/>
      <c r="C760" s="13"/>
      <c r="D760" s="10"/>
      <c r="E760" s="10" t="s">
        <v>26</v>
      </c>
      <c r="F760" s="10">
        <v>23260.9</v>
      </c>
      <c r="G760" s="10"/>
      <c r="H760" s="10">
        <v>1560</v>
      </c>
      <c r="I760" s="10"/>
      <c r="J760" s="10">
        <v>480</v>
      </c>
      <c r="K760" s="10">
        <v>154.9</v>
      </c>
      <c r="L760" s="10"/>
      <c r="M760" s="10"/>
      <c r="N760" s="10"/>
      <c r="O760" s="10">
        <v>4315.28</v>
      </c>
      <c r="P760" s="10"/>
      <c r="Q760" s="29">
        <f t="shared" si="264"/>
        <v>29771.08</v>
      </c>
    </row>
    <row r="761" spans="1:17" ht="12">
      <c r="A761" s="11"/>
      <c r="B761" s="12"/>
      <c r="C761" s="13"/>
      <c r="D761" s="10"/>
      <c r="E761" s="10" t="s">
        <v>27</v>
      </c>
      <c r="F761" s="15">
        <f>26700.49-26700.49</f>
        <v>0</v>
      </c>
      <c r="G761" s="10"/>
      <c r="H761" s="10">
        <v>1320</v>
      </c>
      <c r="I761" s="10"/>
      <c r="J761" s="10">
        <v>480</v>
      </c>
      <c r="K761" s="10">
        <v>365.61</v>
      </c>
      <c r="L761" s="10"/>
      <c r="M761" s="10"/>
      <c r="N761" s="10"/>
      <c r="O761" s="10">
        <v>6948.42</v>
      </c>
      <c r="P761" s="10"/>
      <c r="Q761" s="29">
        <f t="shared" si="264"/>
        <v>9114.03</v>
      </c>
    </row>
    <row r="762" spans="1:17" ht="12">
      <c r="A762" s="11"/>
      <c r="B762" s="12"/>
      <c r="C762" s="13"/>
      <c r="D762" s="10"/>
      <c r="E762" s="14" t="s">
        <v>28</v>
      </c>
      <c r="F762" s="14">
        <f aca="true" t="shared" si="266" ref="F762:P762">SUM(F759:F761)</f>
        <v>50962.34</v>
      </c>
      <c r="G762" s="14">
        <f t="shared" si="266"/>
        <v>0</v>
      </c>
      <c r="H762" s="14">
        <f t="shared" si="266"/>
        <v>4920</v>
      </c>
      <c r="I762" s="14">
        <f t="shared" si="266"/>
        <v>0</v>
      </c>
      <c r="J762" s="14">
        <f t="shared" si="266"/>
        <v>960</v>
      </c>
      <c r="K762" s="14">
        <f t="shared" si="266"/>
        <v>1442.77</v>
      </c>
      <c r="L762" s="14">
        <f t="shared" si="266"/>
        <v>0</v>
      </c>
      <c r="M762" s="14">
        <f t="shared" si="266"/>
        <v>0</v>
      </c>
      <c r="N762" s="14">
        <f t="shared" si="266"/>
        <v>0</v>
      </c>
      <c r="O762" s="14">
        <f t="shared" si="266"/>
        <v>15362.67</v>
      </c>
      <c r="P762" s="14">
        <f t="shared" si="266"/>
        <v>0</v>
      </c>
      <c r="Q762" s="55">
        <f t="shared" si="264"/>
        <v>73647.78</v>
      </c>
    </row>
    <row r="763" spans="1:17" ht="12">
      <c r="A763" s="11"/>
      <c r="B763" s="12"/>
      <c r="C763" s="13"/>
      <c r="D763" s="10"/>
      <c r="E763" s="10" t="s">
        <v>29</v>
      </c>
      <c r="F763" s="15">
        <f>26700.49+20485.38</f>
        <v>47185.87</v>
      </c>
      <c r="G763" s="10"/>
      <c r="H763" s="10">
        <v>960</v>
      </c>
      <c r="I763" s="10"/>
      <c r="J763" s="10">
        <v>480</v>
      </c>
      <c r="K763" s="10"/>
      <c r="L763" s="10"/>
      <c r="M763" s="10"/>
      <c r="N763" s="10"/>
      <c r="O763" s="10"/>
      <c r="P763" s="10"/>
      <c r="Q763" s="29">
        <f t="shared" si="264"/>
        <v>48625.87</v>
      </c>
    </row>
    <row r="764" spans="1:17" ht="12.75">
      <c r="A764" s="11"/>
      <c r="B764" s="12"/>
      <c r="C764" s="13"/>
      <c r="D764" s="10"/>
      <c r="E764" s="10" t="s">
        <v>30</v>
      </c>
      <c r="F764" s="10">
        <v>17005.49</v>
      </c>
      <c r="G764" s="10"/>
      <c r="H764" s="10">
        <v>1320</v>
      </c>
      <c r="I764" s="10"/>
      <c r="J764" s="17">
        <v>480</v>
      </c>
      <c r="K764" s="17">
        <v>1719.34</v>
      </c>
      <c r="L764" s="10"/>
      <c r="M764" s="10"/>
      <c r="N764" s="10"/>
      <c r="O764" s="10"/>
      <c r="P764" s="10"/>
      <c r="Q764" s="29">
        <f t="shared" si="264"/>
        <v>20524.83</v>
      </c>
    </row>
    <row r="765" spans="1:17" ht="12.75">
      <c r="A765" s="11"/>
      <c r="B765" s="12"/>
      <c r="C765" s="13"/>
      <c r="D765" s="10"/>
      <c r="E765" s="10" t="s">
        <v>31</v>
      </c>
      <c r="F765" s="10">
        <v>22923.5</v>
      </c>
      <c r="G765" s="10"/>
      <c r="H765" s="17">
        <v>1080</v>
      </c>
      <c r="I765" s="10"/>
      <c r="J765" s="10"/>
      <c r="K765" s="10">
        <v>864.15</v>
      </c>
      <c r="L765" s="10"/>
      <c r="M765" s="10"/>
      <c r="N765" s="10"/>
      <c r="O765" s="17">
        <v>9873.82</v>
      </c>
      <c r="P765" s="10"/>
      <c r="Q765" s="29">
        <f t="shared" si="264"/>
        <v>34741.47</v>
      </c>
    </row>
    <row r="766" spans="1:17" ht="12">
      <c r="A766" s="11"/>
      <c r="B766" s="12"/>
      <c r="C766" s="13"/>
      <c r="D766" s="10"/>
      <c r="E766" s="14" t="s">
        <v>32</v>
      </c>
      <c r="F766" s="14">
        <f aca="true" t="shared" si="267" ref="F766:P766">SUM(F763:F765)</f>
        <v>87114.86</v>
      </c>
      <c r="G766" s="14">
        <f t="shared" si="267"/>
        <v>0</v>
      </c>
      <c r="H766" s="14">
        <f t="shared" si="267"/>
        <v>3360</v>
      </c>
      <c r="I766" s="14">
        <f t="shared" si="267"/>
        <v>0</v>
      </c>
      <c r="J766" s="14">
        <f t="shared" si="267"/>
        <v>960</v>
      </c>
      <c r="K766" s="14">
        <f t="shared" si="267"/>
        <v>2583.49</v>
      </c>
      <c r="L766" s="14">
        <f t="shared" si="267"/>
        <v>0</v>
      </c>
      <c r="M766" s="14">
        <f t="shared" si="267"/>
        <v>0</v>
      </c>
      <c r="N766" s="14">
        <f t="shared" si="267"/>
        <v>0</v>
      </c>
      <c r="O766" s="14">
        <f t="shared" si="267"/>
        <v>9873.82</v>
      </c>
      <c r="P766" s="14">
        <f t="shared" si="267"/>
        <v>0</v>
      </c>
      <c r="Q766" s="55">
        <f t="shared" si="264"/>
        <v>103892.17000000001</v>
      </c>
    </row>
    <row r="767" spans="1:17" ht="12.75">
      <c r="A767" s="11"/>
      <c r="B767" s="12"/>
      <c r="C767" s="13"/>
      <c r="D767" s="10"/>
      <c r="E767" s="10" t="s">
        <v>33</v>
      </c>
      <c r="F767" s="10">
        <v>12116.95</v>
      </c>
      <c r="G767" s="10"/>
      <c r="H767" s="10">
        <v>840</v>
      </c>
      <c r="I767" s="10"/>
      <c r="J767" s="17">
        <v>480</v>
      </c>
      <c r="K767" s="17"/>
      <c r="L767" s="10"/>
      <c r="M767" s="10"/>
      <c r="N767" s="10"/>
      <c r="O767" s="10"/>
      <c r="P767" s="10"/>
      <c r="Q767" s="29">
        <f t="shared" si="264"/>
        <v>13436.95</v>
      </c>
    </row>
    <row r="768" spans="1:17" ht="12.75">
      <c r="A768" s="11"/>
      <c r="B768" s="12"/>
      <c r="C768" s="13"/>
      <c r="D768" s="10"/>
      <c r="E768" s="10" t="s">
        <v>34</v>
      </c>
      <c r="F768" s="10">
        <v>22323.66</v>
      </c>
      <c r="G768" s="10"/>
      <c r="H768" s="10">
        <v>1440</v>
      </c>
      <c r="I768" s="10"/>
      <c r="J768" s="17">
        <v>480</v>
      </c>
      <c r="K768" s="10">
        <v>299.47</v>
      </c>
      <c r="L768" s="10"/>
      <c r="M768" s="10"/>
      <c r="N768" s="10"/>
      <c r="O768" s="10"/>
      <c r="P768" s="10"/>
      <c r="Q768" s="29">
        <f t="shared" si="264"/>
        <v>24543.13</v>
      </c>
    </row>
    <row r="769" spans="1:17" ht="12.75">
      <c r="A769" s="11"/>
      <c r="B769" s="12"/>
      <c r="C769" s="13"/>
      <c r="D769" s="10"/>
      <c r="E769" s="10" t="s">
        <v>35</v>
      </c>
      <c r="F769" s="10">
        <v>21240.91</v>
      </c>
      <c r="G769" s="10"/>
      <c r="H769" s="18">
        <v>960</v>
      </c>
      <c r="I769" s="10"/>
      <c r="J769" s="10"/>
      <c r="K769" s="10"/>
      <c r="L769" s="10"/>
      <c r="M769" s="10"/>
      <c r="N769" s="10"/>
      <c r="O769" s="18">
        <v>6436.09</v>
      </c>
      <c r="P769" s="10"/>
      <c r="Q769" s="29">
        <f t="shared" si="264"/>
        <v>28637</v>
      </c>
    </row>
    <row r="770" spans="1:17" ht="12">
      <c r="A770" s="11"/>
      <c r="B770" s="12"/>
      <c r="C770" s="13"/>
      <c r="D770" s="10"/>
      <c r="E770" s="14" t="s">
        <v>36</v>
      </c>
      <c r="F770" s="14">
        <f aca="true" t="shared" si="268" ref="F770:P770">SUM(F767:F769)</f>
        <v>55681.520000000004</v>
      </c>
      <c r="G770" s="14">
        <f t="shared" si="268"/>
        <v>0</v>
      </c>
      <c r="H770" s="14">
        <f t="shared" si="268"/>
        <v>3240</v>
      </c>
      <c r="I770" s="14">
        <f t="shared" si="268"/>
        <v>0</v>
      </c>
      <c r="J770" s="14">
        <f t="shared" si="268"/>
        <v>960</v>
      </c>
      <c r="K770" s="14">
        <f t="shared" si="268"/>
        <v>299.47</v>
      </c>
      <c r="L770" s="14">
        <f t="shared" si="268"/>
        <v>0</v>
      </c>
      <c r="M770" s="14">
        <f t="shared" si="268"/>
        <v>0</v>
      </c>
      <c r="N770" s="14">
        <f t="shared" si="268"/>
        <v>0</v>
      </c>
      <c r="O770" s="14">
        <f t="shared" si="268"/>
        <v>6436.09</v>
      </c>
      <c r="P770" s="14">
        <f t="shared" si="268"/>
        <v>0</v>
      </c>
      <c r="Q770" s="55">
        <f t="shared" si="264"/>
        <v>66617.08</v>
      </c>
    </row>
    <row r="771" spans="1:17" ht="12.75" thickBot="1">
      <c r="A771" s="11"/>
      <c r="B771" s="12"/>
      <c r="C771" s="13"/>
      <c r="D771" s="10"/>
      <c r="E771" s="22" t="s">
        <v>37</v>
      </c>
      <c r="F771" s="22">
        <f aca="true" t="shared" si="269" ref="F771:Q771">F758+F762+F766+F770</f>
        <v>266195.98000000004</v>
      </c>
      <c r="G771" s="22">
        <f t="shared" si="269"/>
        <v>0</v>
      </c>
      <c r="H771" s="22">
        <f t="shared" si="269"/>
        <v>16200</v>
      </c>
      <c r="I771" s="22">
        <f t="shared" si="269"/>
        <v>0</v>
      </c>
      <c r="J771" s="22">
        <f t="shared" si="269"/>
        <v>3300</v>
      </c>
      <c r="K771" s="22">
        <f t="shared" si="269"/>
        <v>8917.18</v>
      </c>
      <c r="L771" s="22">
        <f t="shared" si="269"/>
        <v>0</v>
      </c>
      <c r="M771" s="22">
        <f t="shared" si="269"/>
        <v>0</v>
      </c>
      <c r="N771" s="22">
        <f t="shared" si="269"/>
        <v>0</v>
      </c>
      <c r="O771" s="22">
        <f t="shared" si="269"/>
        <v>38783.29</v>
      </c>
      <c r="P771" s="35">
        <f t="shared" si="269"/>
        <v>0</v>
      </c>
      <c r="Q771" s="23">
        <f t="shared" si="269"/>
        <v>333396.45</v>
      </c>
    </row>
    <row r="772" spans="1:17" ht="12">
      <c r="A772" s="11">
        <v>46</v>
      </c>
      <c r="B772" s="12">
        <v>57</v>
      </c>
      <c r="C772" s="13" t="s">
        <v>126</v>
      </c>
      <c r="D772" s="10" t="s">
        <v>127</v>
      </c>
      <c r="E772" s="10" t="s">
        <v>21</v>
      </c>
      <c r="F772" s="10">
        <v>5477.65</v>
      </c>
      <c r="G772" s="10"/>
      <c r="H772" s="10"/>
      <c r="I772" s="10"/>
      <c r="J772" s="10"/>
      <c r="K772" s="10">
        <v>884.51</v>
      </c>
      <c r="L772" s="10"/>
      <c r="M772" s="10"/>
      <c r="N772" s="10"/>
      <c r="O772" s="10"/>
      <c r="P772" s="10"/>
      <c r="Q772" s="29">
        <f aca="true" t="shared" si="270" ref="Q772:Q787">SUM(F772:P772)</f>
        <v>6362.16</v>
      </c>
    </row>
    <row r="773" spans="1:17" ht="12">
      <c r="A773" s="11"/>
      <c r="B773" s="12"/>
      <c r="C773" s="13"/>
      <c r="D773" s="10"/>
      <c r="E773" s="10" t="s">
        <v>22</v>
      </c>
      <c r="F773" s="10">
        <v>3078.89</v>
      </c>
      <c r="G773" s="10"/>
      <c r="H773" s="10"/>
      <c r="I773" s="10"/>
      <c r="J773" s="10"/>
      <c r="K773" s="10">
        <v>3066.35</v>
      </c>
      <c r="L773" s="10"/>
      <c r="M773" s="10"/>
      <c r="N773" s="10"/>
      <c r="O773" s="10"/>
      <c r="P773" s="10"/>
      <c r="Q773" s="29">
        <f t="shared" si="270"/>
        <v>6145.24</v>
      </c>
    </row>
    <row r="774" spans="1:17" ht="12">
      <c r="A774" s="11"/>
      <c r="B774" s="12"/>
      <c r="C774" s="13"/>
      <c r="D774" s="10"/>
      <c r="E774" s="10" t="s">
        <v>23</v>
      </c>
      <c r="F774" s="10">
        <v>4656.42</v>
      </c>
      <c r="G774" s="10"/>
      <c r="H774" s="10"/>
      <c r="I774" s="10"/>
      <c r="J774" s="10"/>
      <c r="K774" s="10">
        <v>2341.86</v>
      </c>
      <c r="L774" s="10"/>
      <c r="M774" s="10"/>
      <c r="N774" s="10"/>
      <c r="O774" s="10"/>
      <c r="P774" s="10"/>
      <c r="Q774" s="29">
        <f t="shared" si="270"/>
        <v>6998.280000000001</v>
      </c>
    </row>
    <row r="775" spans="1:17" ht="12">
      <c r="A775" s="11"/>
      <c r="B775" s="12"/>
      <c r="C775" s="13"/>
      <c r="D775" s="10"/>
      <c r="E775" s="14" t="s">
        <v>24</v>
      </c>
      <c r="F775" s="14">
        <f aca="true" t="shared" si="271" ref="F775:P775">SUM(F772:F774)</f>
        <v>13212.96</v>
      </c>
      <c r="G775" s="14">
        <f t="shared" si="271"/>
        <v>0</v>
      </c>
      <c r="H775" s="14">
        <f t="shared" si="271"/>
        <v>0</v>
      </c>
      <c r="I775" s="14">
        <f t="shared" si="271"/>
        <v>0</v>
      </c>
      <c r="J775" s="14">
        <f t="shared" si="271"/>
        <v>0</v>
      </c>
      <c r="K775" s="14">
        <f t="shared" si="271"/>
        <v>6292.719999999999</v>
      </c>
      <c r="L775" s="14">
        <f t="shared" si="271"/>
        <v>0</v>
      </c>
      <c r="M775" s="14">
        <f t="shared" si="271"/>
        <v>0</v>
      </c>
      <c r="N775" s="14">
        <f t="shared" si="271"/>
        <v>0</v>
      </c>
      <c r="O775" s="14">
        <f t="shared" si="271"/>
        <v>0</v>
      </c>
      <c r="P775" s="14">
        <f t="shared" si="271"/>
        <v>0</v>
      </c>
      <c r="Q775" s="55">
        <f t="shared" si="270"/>
        <v>19505.68</v>
      </c>
    </row>
    <row r="776" spans="1:17" ht="12">
      <c r="A776" s="11"/>
      <c r="B776" s="12"/>
      <c r="C776" s="13"/>
      <c r="D776" s="10"/>
      <c r="E776" s="10" t="s">
        <v>25</v>
      </c>
      <c r="F776" s="10">
        <v>5036.8</v>
      </c>
      <c r="G776" s="10"/>
      <c r="H776" s="10"/>
      <c r="I776" s="10"/>
      <c r="J776" s="10"/>
      <c r="K776" s="10">
        <v>18127.22</v>
      </c>
      <c r="L776" s="10"/>
      <c r="M776" s="10"/>
      <c r="N776" s="10"/>
      <c r="O776" s="10"/>
      <c r="P776" s="10"/>
      <c r="Q776" s="29">
        <f t="shared" si="270"/>
        <v>23164.02</v>
      </c>
    </row>
    <row r="777" spans="1:17" ht="12">
      <c r="A777" s="11"/>
      <c r="B777" s="12"/>
      <c r="C777" s="13"/>
      <c r="D777" s="10"/>
      <c r="E777" s="10" t="s">
        <v>26</v>
      </c>
      <c r="F777" s="10">
        <v>3752.8</v>
      </c>
      <c r="G777" s="10"/>
      <c r="H777" s="10"/>
      <c r="I777" s="10"/>
      <c r="J777" s="10"/>
      <c r="K777" s="10">
        <v>3066.35</v>
      </c>
      <c r="L777" s="10"/>
      <c r="M777" s="10"/>
      <c r="N777" s="10"/>
      <c r="O777" s="10"/>
      <c r="P777" s="10"/>
      <c r="Q777" s="29">
        <f t="shared" si="270"/>
        <v>6819.15</v>
      </c>
    </row>
    <row r="778" spans="1:17" ht="12">
      <c r="A778" s="11"/>
      <c r="B778" s="12"/>
      <c r="C778" s="13"/>
      <c r="D778" s="10"/>
      <c r="E778" s="10" t="s">
        <v>27</v>
      </c>
      <c r="F778" s="10">
        <v>5057.45</v>
      </c>
      <c r="G778" s="10"/>
      <c r="H778" s="10"/>
      <c r="I778" s="10"/>
      <c r="J778" s="10"/>
      <c r="K778" s="10">
        <v>18383.62</v>
      </c>
      <c r="L778" s="10"/>
      <c r="M778" s="10"/>
      <c r="N778" s="10"/>
      <c r="O778" s="10"/>
      <c r="P778" s="10"/>
      <c r="Q778" s="29">
        <f t="shared" si="270"/>
        <v>23441.07</v>
      </c>
    </row>
    <row r="779" spans="1:17" ht="12">
      <c r="A779" s="11"/>
      <c r="B779" s="12"/>
      <c r="C779" s="13"/>
      <c r="D779" s="10"/>
      <c r="E779" s="14" t="s">
        <v>28</v>
      </c>
      <c r="F779" s="14">
        <f aca="true" t="shared" si="272" ref="F779:P779">SUM(F776:F778)</f>
        <v>13847.05</v>
      </c>
      <c r="G779" s="14">
        <f t="shared" si="272"/>
        <v>0</v>
      </c>
      <c r="H779" s="14">
        <f t="shared" si="272"/>
        <v>0</v>
      </c>
      <c r="I779" s="14">
        <f t="shared" si="272"/>
        <v>0</v>
      </c>
      <c r="J779" s="14">
        <f t="shared" si="272"/>
        <v>0</v>
      </c>
      <c r="K779" s="14">
        <f t="shared" si="272"/>
        <v>39577.19</v>
      </c>
      <c r="L779" s="14">
        <f t="shared" si="272"/>
        <v>0</v>
      </c>
      <c r="M779" s="14">
        <f t="shared" si="272"/>
        <v>0</v>
      </c>
      <c r="N779" s="14">
        <f t="shared" si="272"/>
        <v>0</v>
      </c>
      <c r="O779" s="14">
        <f t="shared" si="272"/>
        <v>0</v>
      </c>
      <c r="P779" s="14">
        <f t="shared" si="272"/>
        <v>0</v>
      </c>
      <c r="Q779" s="55">
        <f t="shared" si="270"/>
        <v>53424.240000000005</v>
      </c>
    </row>
    <row r="780" spans="1:17" ht="12">
      <c r="A780" s="11"/>
      <c r="B780" s="12"/>
      <c r="C780" s="13"/>
      <c r="D780" s="10"/>
      <c r="E780" s="10" t="s">
        <v>29</v>
      </c>
      <c r="F780" s="16">
        <v>5149.94</v>
      </c>
      <c r="G780" s="10"/>
      <c r="H780" s="10"/>
      <c r="I780" s="10"/>
      <c r="J780" s="10"/>
      <c r="K780" s="16">
        <v>11383.81</v>
      </c>
      <c r="L780" s="10"/>
      <c r="M780" s="10"/>
      <c r="N780" s="10"/>
      <c r="O780" s="10"/>
      <c r="P780" s="10"/>
      <c r="Q780" s="29">
        <f t="shared" si="270"/>
        <v>16533.75</v>
      </c>
    </row>
    <row r="781" spans="1:17" ht="12">
      <c r="A781" s="11"/>
      <c r="B781" s="12"/>
      <c r="C781" s="13"/>
      <c r="D781" s="10"/>
      <c r="E781" s="10" t="s">
        <v>30</v>
      </c>
      <c r="F781" s="10">
        <v>3987.56</v>
      </c>
      <c r="G781" s="10"/>
      <c r="H781" s="10"/>
      <c r="I781" s="10"/>
      <c r="J781" s="10"/>
      <c r="K781" s="10">
        <v>15652.01</v>
      </c>
      <c r="L781" s="10"/>
      <c r="M781" s="10"/>
      <c r="N781" s="10"/>
      <c r="O781" s="10"/>
      <c r="P781" s="10"/>
      <c r="Q781" s="29">
        <f t="shared" si="270"/>
        <v>19639.57</v>
      </c>
    </row>
    <row r="782" spans="1:17" ht="12.75">
      <c r="A782" s="11"/>
      <c r="B782" s="12"/>
      <c r="C782" s="13"/>
      <c r="D782" s="10"/>
      <c r="E782" s="10" t="s">
        <v>31</v>
      </c>
      <c r="F782" s="17">
        <v>4847.71</v>
      </c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29">
        <f t="shared" si="270"/>
        <v>4847.71</v>
      </c>
    </row>
    <row r="783" spans="1:17" ht="12">
      <c r="A783" s="11"/>
      <c r="B783" s="12"/>
      <c r="C783" s="13"/>
      <c r="D783" s="10"/>
      <c r="E783" s="14" t="s">
        <v>32</v>
      </c>
      <c r="F783" s="14">
        <f aca="true" t="shared" si="273" ref="F783:P783">SUM(F780:F782)</f>
        <v>13985.21</v>
      </c>
      <c r="G783" s="14">
        <f t="shared" si="273"/>
        <v>0</v>
      </c>
      <c r="H783" s="14">
        <f t="shared" si="273"/>
        <v>0</v>
      </c>
      <c r="I783" s="14">
        <f t="shared" si="273"/>
        <v>0</v>
      </c>
      <c r="J783" s="14">
        <f t="shared" si="273"/>
        <v>0</v>
      </c>
      <c r="K783" s="14">
        <f t="shared" si="273"/>
        <v>27035.82</v>
      </c>
      <c r="L783" s="14">
        <f t="shared" si="273"/>
        <v>0</v>
      </c>
      <c r="M783" s="14">
        <f t="shared" si="273"/>
        <v>0</v>
      </c>
      <c r="N783" s="14">
        <f t="shared" si="273"/>
        <v>0</v>
      </c>
      <c r="O783" s="14">
        <f t="shared" si="273"/>
        <v>0</v>
      </c>
      <c r="P783" s="14">
        <f t="shared" si="273"/>
        <v>0</v>
      </c>
      <c r="Q783" s="55">
        <f t="shared" si="270"/>
        <v>41021.03</v>
      </c>
    </row>
    <row r="784" spans="1:17" ht="12.75">
      <c r="A784" s="11"/>
      <c r="B784" s="12"/>
      <c r="C784" s="13"/>
      <c r="D784" s="10"/>
      <c r="E784" s="10" t="s">
        <v>33</v>
      </c>
      <c r="F784" s="17">
        <v>5758.16</v>
      </c>
      <c r="G784" s="10"/>
      <c r="H784" s="10"/>
      <c r="I784" s="10"/>
      <c r="J784" s="10"/>
      <c r="K784" s="17">
        <v>16370.22</v>
      </c>
      <c r="L784" s="10"/>
      <c r="M784" s="10"/>
      <c r="N784" s="10"/>
      <c r="O784" s="10"/>
      <c r="P784" s="10"/>
      <c r="Q784" s="29">
        <f t="shared" si="270"/>
        <v>22128.379999999997</v>
      </c>
    </row>
    <row r="785" spans="1:17" ht="12.75">
      <c r="A785" s="11"/>
      <c r="B785" s="12"/>
      <c r="C785" s="13"/>
      <c r="D785" s="10"/>
      <c r="E785" s="10" t="s">
        <v>34</v>
      </c>
      <c r="F785" s="17">
        <v>3971.85</v>
      </c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29">
        <f t="shared" si="270"/>
        <v>3971.85</v>
      </c>
    </row>
    <row r="786" spans="1:17" ht="12.75">
      <c r="A786" s="11"/>
      <c r="B786" s="12"/>
      <c r="C786" s="13"/>
      <c r="D786" s="10"/>
      <c r="E786" s="10" t="s">
        <v>35</v>
      </c>
      <c r="F786" s="18">
        <v>2243.2</v>
      </c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29">
        <f t="shared" si="270"/>
        <v>2243.2</v>
      </c>
    </row>
    <row r="787" spans="1:17" ht="12">
      <c r="A787" s="11"/>
      <c r="B787" s="12"/>
      <c r="C787" s="13"/>
      <c r="D787" s="10"/>
      <c r="E787" s="14" t="s">
        <v>36</v>
      </c>
      <c r="F787" s="14">
        <f aca="true" t="shared" si="274" ref="F787:P787">SUM(F784:F786)</f>
        <v>11973.21</v>
      </c>
      <c r="G787" s="14">
        <f t="shared" si="274"/>
        <v>0</v>
      </c>
      <c r="H787" s="14">
        <f t="shared" si="274"/>
        <v>0</v>
      </c>
      <c r="I787" s="14">
        <f t="shared" si="274"/>
        <v>0</v>
      </c>
      <c r="J787" s="14">
        <f t="shared" si="274"/>
        <v>0</v>
      </c>
      <c r="K787" s="14">
        <f t="shared" si="274"/>
        <v>16370.22</v>
      </c>
      <c r="L787" s="14">
        <f t="shared" si="274"/>
        <v>0</v>
      </c>
      <c r="M787" s="14">
        <f t="shared" si="274"/>
        <v>0</v>
      </c>
      <c r="N787" s="14">
        <f t="shared" si="274"/>
        <v>0</v>
      </c>
      <c r="O787" s="14">
        <f t="shared" si="274"/>
        <v>0</v>
      </c>
      <c r="P787" s="14">
        <f t="shared" si="274"/>
        <v>0</v>
      </c>
      <c r="Q787" s="55">
        <f t="shared" si="270"/>
        <v>28343.43</v>
      </c>
    </row>
    <row r="788" spans="1:17" ht="12.75" thickBot="1">
      <c r="A788" s="11"/>
      <c r="B788" s="12"/>
      <c r="C788" s="13"/>
      <c r="D788" s="10"/>
      <c r="E788" s="22" t="s">
        <v>37</v>
      </c>
      <c r="F788" s="22">
        <f aca="true" t="shared" si="275" ref="F788:Q788">F775+F779+F783+F787</f>
        <v>53018.43</v>
      </c>
      <c r="G788" s="22">
        <f t="shared" si="275"/>
        <v>0</v>
      </c>
      <c r="H788" s="22">
        <f t="shared" si="275"/>
        <v>0</v>
      </c>
      <c r="I788" s="22">
        <f t="shared" si="275"/>
        <v>0</v>
      </c>
      <c r="J788" s="22">
        <f t="shared" si="275"/>
        <v>0</v>
      </c>
      <c r="K788" s="22">
        <f t="shared" si="275"/>
        <v>89275.95000000001</v>
      </c>
      <c r="L788" s="22">
        <f t="shared" si="275"/>
        <v>0</v>
      </c>
      <c r="M788" s="22">
        <f t="shared" si="275"/>
        <v>0</v>
      </c>
      <c r="N788" s="22">
        <f t="shared" si="275"/>
        <v>0</v>
      </c>
      <c r="O788" s="22">
        <f t="shared" si="275"/>
        <v>0</v>
      </c>
      <c r="P788" s="35">
        <f t="shared" si="275"/>
        <v>0</v>
      </c>
      <c r="Q788" s="23">
        <f t="shared" si="275"/>
        <v>142294.38</v>
      </c>
    </row>
    <row r="789" spans="1:17" ht="12">
      <c r="A789" s="11">
        <v>47</v>
      </c>
      <c r="B789" s="12">
        <v>65</v>
      </c>
      <c r="C789" s="13" t="s">
        <v>128</v>
      </c>
      <c r="D789" s="10" t="s">
        <v>129</v>
      </c>
      <c r="E789" s="10" t="s">
        <v>21</v>
      </c>
      <c r="F789" s="10">
        <v>6748.31</v>
      </c>
      <c r="G789" s="10"/>
      <c r="H789" s="10">
        <v>120</v>
      </c>
      <c r="I789" s="10"/>
      <c r="J789" s="10"/>
      <c r="K789" s="10"/>
      <c r="L789" s="10"/>
      <c r="M789" s="10"/>
      <c r="N789" s="10"/>
      <c r="O789" s="10"/>
      <c r="P789" s="10"/>
      <c r="Q789" s="29">
        <f aca="true" t="shared" si="276" ref="Q789:Q804">SUM(F789:P789)</f>
        <v>6868.31</v>
      </c>
    </row>
    <row r="790" spans="1:17" ht="12">
      <c r="A790" s="11"/>
      <c r="B790" s="12"/>
      <c r="C790" s="13"/>
      <c r="D790" s="10"/>
      <c r="E790" s="10" t="s">
        <v>22</v>
      </c>
      <c r="F790" s="10">
        <v>5830.75</v>
      </c>
      <c r="G790" s="10"/>
      <c r="H790" s="10">
        <v>360</v>
      </c>
      <c r="I790" s="10"/>
      <c r="J790" s="10"/>
      <c r="K790" s="10"/>
      <c r="L790" s="10"/>
      <c r="M790" s="10"/>
      <c r="N790" s="10"/>
      <c r="O790" s="10"/>
      <c r="P790" s="10"/>
      <c r="Q790" s="29">
        <f t="shared" si="276"/>
        <v>6190.75</v>
      </c>
    </row>
    <row r="791" spans="1:17" ht="12">
      <c r="A791" s="11"/>
      <c r="B791" s="12"/>
      <c r="C791" s="13"/>
      <c r="D791" s="10"/>
      <c r="E791" s="10" t="s">
        <v>23</v>
      </c>
      <c r="F791" s="10">
        <v>6630.41</v>
      </c>
      <c r="G791" s="10"/>
      <c r="H791" s="10">
        <v>840</v>
      </c>
      <c r="I791" s="10"/>
      <c r="J791" s="10"/>
      <c r="K791" s="10">
        <v>219.39</v>
      </c>
      <c r="L791" s="10"/>
      <c r="M791" s="10"/>
      <c r="N791" s="10"/>
      <c r="O791" s="10"/>
      <c r="P791" s="10"/>
      <c r="Q791" s="29">
        <f t="shared" si="276"/>
        <v>7689.8</v>
      </c>
    </row>
    <row r="792" spans="1:17" ht="12">
      <c r="A792" s="11"/>
      <c r="B792" s="12"/>
      <c r="C792" s="13"/>
      <c r="D792" s="10"/>
      <c r="E792" s="14" t="s">
        <v>24</v>
      </c>
      <c r="F792" s="14">
        <f aca="true" t="shared" si="277" ref="F792:P792">SUM(F789:F791)</f>
        <v>19209.47</v>
      </c>
      <c r="G792" s="14">
        <f t="shared" si="277"/>
        <v>0</v>
      </c>
      <c r="H792" s="14">
        <f t="shared" si="277"/>
        <v>1320</v>
      </c>
      <c r="I792" s="14">
        <f t="shared" si="277"/>
        <v>0</v>
      </c>
      <c r="J792" s="14">
        <f t="shared" si="277"/>
        <v>0</v>
      </c>
      <c r="K792" s="14">
        <f t="shared" si="277"/>
        <v>219.39</v>
      </c>
      <c r="L792" s="14">
        <f t="shared" si="277"/>
        <v>0</v>
      </c>
      <c r="M792" s="14">
        <f t="shared" si="277"/>
        <v>0</v>
      </c>
      <c r="N792" s="14">
        <f t="shared" si="277"/>
        <v>0</v>
      </c>
      <c r="O792" s="14">
        <f t="shared" si="277"/>
        <v>0</v>
      </c>
      <c r="P792" s="14">
        <f t="shared" si="277"/>
        <v>0</v>
      </c>
      <c r="Q792" s="55">
        <f t="shared" si="276"/>
        <v>20748.86</v>
      </c>
    </row>
    <row r="793" spans="1:17" ht="12">
      <c r="A793" s="11"/>
      <c r="B793" s="12"/>
      <c r="C793" s="13"/>
      <c r="D793" s="10"/>
      <c r="E793" s="10" t="s">
        <v>25</v>
      </c>
      <c r="F793" s="10">
        <v>5721.65</v>
      </c>
      <c r="G793" s="10"/>
      <c r="H793" s="10">
        <v>240</v>
      </c>
      <c r="I793" s="10"/>
      <c r="J793" s="10"/>
      <c r="K793" s="10"/>
      <c r="L793" s="10"/>
      <c r="M793" s="10"/>
      <c r="N793" s="10"/>
      <c r="O793" s="10"/>
      <c r="P793" s="10"/>
      <c r="Q793" s="29">
        <f t="shared" si="276"/>
        <v>5961.65</v>
      </c>
    </row>
    <row r="794" spans="1:17" ht="12">
      <c r="A794" s="11"/>
      <c r="B794" s="12"/>
      <c r="C794" s="13"/>
      <c r="D794" s="10"/>
      <c r="E794" s="10" t="s">
        <v>26</v>
      </c>
      <c r="F794" s="10">
        <v>5476.86</v>
      </c>
      <c r="G794" s="10"/>
      <c r="H794" s="10">
        <v>360</v>
      </c>
      <c r="I794" s="10"/>
      <c r="J794" s="10"/>
      <c r="K794" s="10">
        <v>154.9</v>
      </c>
      <c r="L794" s="10"/>
      <c r="M794" s="10"/>
      <c r="N794" s="10"/>
      <c r="O794" s="10"/>
      <c r="P794" s="10"/>
      <c r="Q794" s="29">
        <f t="shared" si="276"/>
        <v>5991.759999999999</v>
      </c>
    </row>
    <row r="795" spans="1:17" ht="12">
      <c r="A795" s="11"/>
      <c r="B795" s="12"/>
      <c r="C795" s="13"/>
      <c r="D795" s="10"/>
      <c r="E795" s="10" t="s">
        <v>27</v>
      </c>
      <c r="F795" s="10">
        <v>7745.74</v>
      </c>
      <c r="G795" s="10"/>
      <c r="H795" s="10">
        <v>960</v>
      </c>
      <c r="I795" s="10"/>
      <c r="J795" s="10"/>
      <c r="K795" s="10">
        <v>219.39</v>
      </c>
      <c r="L795" s="10"/>
      <c r="M795" s="10"/>
      <c r="N795" s="10"/>
      <c r="O795" s="10"/>
      <c r="P795" s="10"/>
      <c r="Q795" s="29">
        <f t="shared" si="276"/>
        <v>8925.13</v>
      </c>
    </row>
    <row r="796" spans="1:17" ht="12">
      <c r="A796" s="11"/>
      <c r="B796" s="12"/>
      <c r="C796" s="13"/>
      <c r="D796" s="10"/>
      <c r="E796" s="14" t="s">
        <v>28</v>
      </c>
      <c r="F796" s="14">
        <f aca="true" t="shared" si="278" ref="F796:P796">SUM(F793:F795)</f>
        <v>18944.25</v>
      </c>
      <c r="G796" s="14">
        <f t="shared" si="278"/>
        <v>0</v>
      </c>
      <c r="H796" s="14">
        <f t="shared" si="278"/>
        <v>1560</v>
      </c>
      <c r="I796" s="14">
        <f t="shared" si="278"/>
        <v>0</v>
      </c>
      <c r="J796" s="14">
        <f t="shared" si="278"/>
        <v>0</v>
      </c>
      <c r="K796" s="14">
        <f t="shared" si="278"/>
        <v>374.28999999999996</v>
      </c>
      <c r="L796" s="14">
        <f t="shared" si="278"/>
        <v>0</v>
      </c>
      <c r="M796" s="14">
        <f t="shared" si="278"/>
        <v>0</v>
      </c>
      <c r="N796" s="14">
        <f t="shared" si="278"/>
        <v>0</v>
      </c>
      <c r="O796" s="14">
        <f t="shared" si="278"/>
        <v>0</v>
      </c>
      <c r="P796" s="14">
        <f t="shared" si="278"/>
        <v>0</v>
      </c>
      <c r="Q796" s="55">
        <f t="shared" si="276"/>
        <v>20878.54</v>
      </c>
    </row>
    <row r="797" spans="1:17" ht="12">
      <c r="A797" s="11"/>
      <c r="B797" s="12"/>
      <c r="C797" s="13"/>
      <c r="D797" s="10"/>
      <c r="E797" s="10" t="s">
        <v>29</v>
      </c>
      <c r="F797" s="10">
        <v>6751.17</v>
      </c>
      <c r="G797" s="10"/>
      <c r="H797" s="16">
        <v>600</v>
      </c>
      <c r="I797" s="10"/>
      <c r="J797" s="10"/>
      <c r="K797" s="10"/>
      <c r="L797" s="10"/>
      <c r="M797" s="10"/>
      <c r="N797" s="10"/>
      <c r="O797" s="10"/>
      <c r="P797" s="10"/>
      <c r="Q797" s="29">
        <f t="shared" si="276"/>
        <v>7351.17</v>
      </c>
    </row>
    <row r="798" spans="1:17" ht="12.75">
      <c r="A798" s="11"/>
      <c r="B798" s="12"/>
      <c r="C798" s="13"/>
      <c r="D798" s="10"/>
      <c r="E798" s="10" t="s">
        <v>30</v>
      </c>
      <c r="F798" s="10">
        <v>4752.86</v>
      </c>
      <c r="G798" s="10"/>
      <c r="H798" s="17">
        <v>240</v>
      </c>
      <c r="I798" s="10"/>
      <c r="J798" s="10"/>
      <c r="K798" s="17">
        <v>154.91</v>
      </c>
      <c r="L798" s="10"/>
      <c r="M798" s="10"/>
      <c r="N798" s="10"/>
      <c r="O798" s="10"/>
      <c r="P798" s="10"/>
      <c r="Q798" s="29">
        <f t="shared" si="276"/>
        <v>5147.7699999999995</v>
      </c>
    </row>
    <row r="799" spans="1:17" ht="12.75">
      <c r="A799" s="11"/>
      <c r="B799" s="12"/>
      <c r="C799" s="13"/>
      <c r="D799" s="10"/>
      <c r="E799" s="10" t="s">
        <v>31</v>
      </c>
      <c r="F799" s="10">
        <v>3161.76</v>
      </c>
      <c r="G799" s="10"/>
      <c r="H799" s="17">
        <v>120</v>
      </c>
      <c r="I799" s="10"/>
      <c r="J799" s="10"/>
      <c r="K799" s="17">
        <v>219.39</v>
      </c>
      <c r="L799" s="10"/>
      <c r="M799" s="10"/>
      <c r="N799" s="10"/>
      <c r="O799" s="10"/>
      <c r="P799" s="10"/>
      <c r="Q799" s="29">
        <f t="shared" si="276"/>
        <v>3501.15</v>
      </c>
    </row>
    <row r="800" spans="1:17" ht="12">
      <c r="A800" s="11"/>
      <c r="B800" s="12"/>
      <c r="C800" s="13"/>
      <c r="D800" s="10"/>
      <c r="E800" s="14" t="s">
        <v>32</v>
      </c>
      <c r="F800" s="14">
        <f aca="true" t="shared" si="279" ref="F800:P800">SUM(F797:F799)</f>
        <v>14665.789999999999</v>
      </c>
      <c r="G800" s="14">
        <f t="shared" si="279"/>
        <v>0</v>
      </c>
      <c r="H800" s="14">
        <f t="shared" si="279"/>
        <v>960</v>
      </c>
      <c r="I800" s="14">
        <f t="shared" si="279"/>
        <v>0</v>
      </c>
      <c r="J800" s="14">
        <f t="shared" si="279"/>
        <v>0</v>
      </c>
      <c r="K800" s="14">
        <f t="shared" si="279"/>
        <v>374.29999999999995</v>
      </c>
      <c r="L800" s="14">
        <f t="shared" si="279"/>
        <v>0</v>
      </c>
      <c r="M800" s="14">
        <f t="shared" si="279"/>
        <v>0</v>
      </c>
      <c r="N800" s="14">
        <f t="shared" si="279"/>
        <v>0</v>
      </c>
      <c r="O800" s="14">
        <f t="shared" si="279"/>
        <v>0</v>
      </c>
      <c r="P800" s="14">
        <f t="shared" si="279"/>
        <v>0</v>
      </c>
      <c r="Q800" s="55">
        <f t="shared" si="276"/>
        <v>16000.089999999998</v>
      </c>
    </row>
    <row r="801" spans="1:17" ht="12.75">
      <c r="A801" s="11"/>
      <c r="B801" s="12"/>
      <c r="C801" s="13"/>
      <c r="D801" s="10"/>
      <c r="E801" s="10" t="s">
        <v>33</v>
      </c>
      <c r="F801" s="10">
        <v>7510.51</v>
      </c>
      <c r="G801" s="10"/>
      <c r="H801" s="17">
        <v>480</v>
      </c>
      <c r="I801" s="10"/>
      <c r="J801" s="10"/>
      <c r="K801" s="10"/>
      <c r="L801" s="10"/>
      <c r="M801" s="10"/>
      <c r="N801" s="10"/>
      <c r="O801" s="10"/>
      <c r="P801" s="10"/>
      <c r="Q801" s="29">
        <f t="shared" si="276"/>
        <v>7990.51</v>
      </c>
    </row>
    <row r="802" spans="1:17" ht="12.75">
      <c r="A802" s="11"/>
      <c r="B802" s="12"/>
      <c r="C802" s="13"/>
      <c r="D802" s="10"/>
      <c r="E802" s="10" t="s">
        <v>34</v>
      </c>
      <c r="F802" s="10">
        <v>2985.59</v>
      </c>
      <c r="G802" s="10"/>
      <c r="H802" s="17">
        <v>240</v>
      </c>
      <c r="I802" s="10"/>
      <c r="J802" s="10"/>
      <c r="K802" s="10"/>
      <c r="L802" s="10"/>
      <c r="M802" s="10"/>
      <c r="N802" s="10"/>
      <c r="O802" s="10"/>
      <c r="P802" s="10"/>
      <c r="Q802" s="29">
        <f t="shared" si="276"/>
        <v>3225.59</v>
      </c>
    </row>
    <row r="803" spans="1:17" ht="12.75">
      <c r="A803" s="11"/>
      <c r="B803" s="12"/>
      <c r="C803" s="13"/>
      <c r="D803" s="10"/>
      <c r="E803" s="10" t="s">
        <v>35</v>
      </c>
      <c r="F803" s="10">
        <v>5137.03</v>
      </c>
      <c r="G803" s="10"/>
      <c r="H803" s="18">
        <v>360</v>
      </c>
      <c r="I803" s="10"/>
      <c r="J803" s="10"/>
      <c r="K803" s="10"/>
      <c r="L803" s="10"/>
      <c r="M803" s="10"/>
      <c r="N803" s="10"/>
      <c r="O803" s="10"/>
      <c r="P803" s="10"/>
      <c r="Q803" s="29">
        <f t="shared" si="276"/>
        <v>5497.03</v>
      </c>
    </row>
    <row r="804" spans="1:17" ht="12">
      <c r="A804" s="11"/>
      <c r="B804" s="12"/>
      <c r="C804" s="13"/>
      <c r="D804" s="10"/>
      <c r="E804" s="14" t="s">
        <v>36</v>
      </c>
      <c r="F804" s="14">
        <f aca="true" t="shared" si="280" ref="F804:P804">SUM(F801:F803)</f>
        <v>15633.130000000001</v>
      </c>
      <c r="G804" s="14">
        <f t="shared" si="280"/>
        <v>0</v>
      </c>
      <c r="H804" s="14">
        <f t="shared" si="280"/>
        <v>1080</v>
      </c>
      <c r="I804" s="14">
        <f t="shared" si="280"/>
        <v>0</v>
      </c>
      <c r="J804" s="14">
        <f t="shared" si="280"/>
        <v>0</v>
      </c>
      <c r="K804" s="14">
        <f t="shared" si="280"/>
        <v>0</v>
      </c>
      <c r="L804" s="14">
        <f t="shared" si="280"/>
        <v>0</v>
      </c>
      <c r="M804" s="14">
        <f t="shared" si="280"/>
        <v>0</v>
      </c>
      <c r="N804" s="14">
        <f t="shared" si="280"/>
        <v>0</v>
      </c>
      <c r="O804" s="14">
        <f t="shared" si="280"/>
        <v>0</v>
      </c>
      <c r="P804" s="14">
        <f t="shared" si="280"/>
        <v>0</v>
      </c>
      <c r="Q804" s="55">
        <f t="shared" si="276"/>
        <v>16713.13</v>
      </c>
    </row>
    <row r="805" spans="1:17" ht="12.75" thickBot="1">
      <c r="A805" s="11"/>
      <c r="B805" s="12"/>
      <c r="C805" s="13"/>
      <c r="D805" s="10"/>
      <c r="E805" s="22" t="s">
        <v>37</v>
      </c>
      <c r="F805" s="22">
        <f aca="true" t="shared" si="281" ref="F805:Q805">F792+F796+F800+F804</f>
        <v>68452.64</v>
      </c>
      <c r="G805" s="22">
        <f t="shared" si="281"/>
        <v>0</v>
      </c>
      <c r="H805" s="22">
        <f t="shared" si="281"/>
        <v>4920</v>
      </c>
      <c r="I805" s="22">
        <f t="shared" si="281"/>
        <v>0</v>
      </c>
      <c r="J805" s="22">
        <f t="shared" si="281"/>
        <v>0</v>
      </c>
      <c r="K805" s="22">
        <f t="shared" si="281"/>
        <v>967.9799999999999</v>
      </c>
      <c r="L805" s="22">
        <f t="shared" si="281"/>
        <v>0</v>
      </c>
      <c r="M805" s="22">
        <f t="shared" si="281"/>
        <v>0</v>
      </c>
      <c r="N805" s="22">
        <f t="shared" si="281"/>
        <v>0</v>
      </c>
      <c r="O805" s="22">
        <f t="shared" si="281"/>
        <v>0</v>
      </c>
      <c r="P805" s="35">
        <f t="shared" si="281"/>
        <v>0</v>
      </c>
      <c r="Q805" s="23">
        <f t="shared" si="281"/>
        <v>74340.62</v>
      </c>
    </row>
    <row r="806" spans="1:17" ht="12">
      <c r="A806" s="11">
        <v>48</v>
      </c>
      <c r="B806" s="12">
        <v>86</v>
      </c>
      <c r="C806" s="13" t="s">
        <v>130</v>
      </c>
      <c r="D806" s="10" t="s">
        <v>131</v>
      </c>
      <c r="E806" s="10" t="s">
        <v>21</v>
      </c>
      <c r="F806" s="10">
        <v>5234.91</v>
      </c>
      <c r="G806" s="10"/>
      <c r="H806" s="10">
        <v>360</v>
      </c>
      <c r="I806" s="10"/>
      <c r="J806" s="10"/>
      <c r="K806" s="10"/>
      <c r="L806" s="10"/>
      <c r="M806" s="10"/>
      <c r="N806" s="10"/>
      <c r="O806" s="10"/>
      <c r="P806" s="10"/>
      <c r="Q806" s="29">
        <f aca="true" t="shared" si="282" ref="Q806:Q821">SUM(F806:P806)</f>
        <v>5594.91</v>
      </c>
    </row>
    <row r="807" spans="1:17" ht="12">
      <c r="A807" s="11"/>
      <c r="B807" s="12"/>
      <c r="C807" s="13"/>
      <c r="D807" s="10"/>
      <c r="E807" s="10" t="s">
        <v>22</v>
      </c>
      <c r="F807" s="10">
        <v>9329.81</v>
      </c>
      <c r="G807" s="10"/>
      <c r="H807" s="10">
        <v>840</v>
      </c>
      <c r="I807" s="10"/>
      <c r="J807" s="10">
        <v>420</v>
      </c>
      <c r="K807" s="10"/>
      <c r="L807" s="10"/>
      <c r="M807" s="10"/>
      <c r="N807" s="10"/>
      <c r="O807" s="10"/>
      <c r="P807" s="10"/>
      <c r="Q807" s="29">
        <f t="shared" si="282"/>
        <v>10589.81</v>
      </c>
    </row>
    <row r="808" spans="1:17" ht="12">
      <c r="A808" s="11"/>
      <c r="B808" s="12"/>
      <c r="C808" s="13"/>
      <c r="D808" s="10"/>
      <c r="E808" s="10" t="s">
        <v>23</v>
      </c>
      <c r="F808" s="10">
        <v>6679.62</v>
      </c>
      <c r="G808" s="10"/>
      <c r="H808" s="10">
        <v>720</v>
      </c>
      <c r="I808" s="10"/>
      <c r="J808" s="10"/>
      <c r="K808" s="10">
        <v>219.39</v>
      </c>
      <c r="L808" s="10"/>
      <c r="M808" s="10"/>
      <c r="N808" s="10"/>
      <c r="O808" s="10"/>
      <c r="P808" s="10"/>
      <c r="Q808" s="29">
        <f t="shared" si="282"/>
        <v>7619.01</v>
      </c>
    </row>
    <row r="809" spans="1:17" ht="12">
      <c r="A809" s="11"/>
      <c r="B809" s="12"/>
      <c r="C809" s="13"/>
      <c r="D809" s="10"/>
      <c r="E809" s="14" t="s">
        <v>24</v>
      </c>
      <c r="F809" s="14">
        <f aca="true" t="shared" si="283" ref="F809:P809">SUM(F806:F808)</f>
        <v>21244.34</v>
      </c>
      <c r="G809" s="14">
        <f t="shared" si="283"/>
        <v>0</v>
      </c>
      <c r="H809" s="14">
        <f t="shared" si="283"/>
        <v>1920</v>
      </c>
      <c r="I809" s="14">
        <f t="shared" si="283"/>
        <v>0</v>
      </c>
      <c r="J809" s="14">
        <f t="shared" si="283"/>
        <v>420</v>
      </c>
      <c r="K809" s="14">
        <f t="shared" si="283"/>
        <v>219.39</v>
      </c>
      <c r="L809" s="14">
        <f t="shared" si="283"/>
        <v>0</v>
      </c>
      <c r="M809" s="14">
        <f t="shared" si="283"/>
        <v>0</v>
      </c>
      <c r="N809" s="14">
        <f t="shared" si="283"/>
        <v>0</v>
      </c>
      <c r="O809" s="14">
        <f t="shared" si="283"/>
        <v>0</v>
      </c>
      <c r="P809" s="14">
        <f t="shared" si="283"/>
        <v>0</v>
      </c>
      <c r="Q809" s="55">
        <f t="shared" si="282"/>
        <v>23803.73</v>
      </c>
    </row>
    <row r="810" spans="1:17" ht="12">
      <c r="A810" s="11"/>
      <c r="B810" s="12"/>
      <c r="C810" s="13"/>
      <c r="D810" s="10"/>
      <c r="E810" s="10" t="s">
        <v>25</v>
      </c>
      <c r="F810" s="10">
        <v>7080.08</v>
      </c>
      <c r="G810" s="10"/>
      <c r="H810" s="10">
        <v>720</v>
      </c>
      <c r="I810" s="10"/>
      <c r="J810" s="10"/>
      <c r="K810" s="10"/>
      <c r="L810" s="10"/>
      <c r="M810" s="10"/>
      <c r="N810" s="10"/>
      <c r="O810" s="10"/>
      <c r="P810" s="10"/>
      <c r="Q810" s="29">
        <f t="shared" si="282"/>
        <v>7800.08</v>
      </c>
    </row>
    <row r="811" spans="1:17" ht="12">
      <c r="A811" s="11"/>
      <c r="B811" s="12"/>
      <c r="C811" s="13"/>
      <c r="D811" s="10"/>
      <c r="E811" s="10" t="s">
        <v>26</v>
      </c>
      <c r="F811" s="10">
        <v>6255.75</v>
      </c>
      <c r="G811" s="10"/>
      <c r="H811" s="10">
        <v>480</v>
      </c>
      <c r="I811" s="10"/>
      <c r="J811" s="10"/>
      <c r="K811" s="10"/>
      <c r="L811" s="10"/>
      <c r="M811" s="10"/>
      <c r="N811" s="10"/>
      <c r="O811" s="10"/>
      <c r="P811" s="10"/>
      <c r="Q811" s="29">
        <f t="shared" si="282"/>
        <v>6735.75</v>
      </c>
    </row>
    <row r="812" spans="1:17" ht="12">
      <c r="A812" s="11"/>
      <c r="B812" s="12"/>
      <c r="C812" s="13"/>
      <c r="D812" s="10"/>
      <c r="E812" s="10" t="s">
        <v>27</v>
      </c>
      <c r="F812" s="10">
        <v>3020.16</v>
      </c>
      <c r="G812" s="10"/>
      <c r="H812" s="10">
        <v>480</v>
      </c>
      <c r="I812" s="10"/>
      <c r="J812" s="10"/>
      <c r="K812" s="10"/>
      <c r="L812" s="10"/>
      <c r="M812" s="10"/>
      <c r="N812" s="10"/>
      <c r="O812" s="10"/>
      <c r="P812" s="10"/>
      <c r="Q812" s="29">
        <f t="shared" si="282"/>
        <v>3500.16</v>
      </c>
    </row>
    <row r="813" spans="1:17" ht="12">
      <c r="A813" s="11"/>
      <c r="B813" s="12"/>
      <c r="C813" s="13"/>
      <c r="D813" s="10"/>
      <c r="E813" s="14" t="s">
        <v>28</v>
      </c>
      <c r="F813" s="14">
        <f aca="true" t="shared" si="284" ref="F813:P813">SUM(F810:F812)</f>
        <v>16355.99</v>
      </c>
      <c r="G813" s="14">
        <f t="shared" si="284"/>
        <v>0</v>
      </c>
      <c r="H813" s="14">
        <f t="shared" si="284"/>
        <v>1680</v>
      </c>
      <c r="I813" s="14">
        <f t="shared" si="284"/>
        <v>0</v>
      </c>
      <c r="J813" s="14">
        <f t="shared" si="284"/>
        <v>0</v>
      </c>
      <c r="K813" s="14">
        <f t="shared" si="284"/>
        <v>0</v>
      </c>
      <c r="L813" s="14">
        <f t="shared" si="284"/>
        <v>0</v>
      </c>
      <c r="M813" s="14">
        <f t="shared" si="284"/>
        <v>0</v>
      </c>
      <c r="N813" s="14">
        <f t="shared" si="284"/>
        <v>0</v>
      </c>
      <c r="O813" s="14">
        <f t="shared" si="284"/>
        <v>0</v>
      </c>
      <c r="P813" s="14">
        <f t="shared" si="284"/>
        <v>0</v>
      </c>
      <c r="Q813" s="55">
        <f t="shared" si="282"/>
        <v>18035.989999999998</v>
      </c>
    </row>
    <row r="814" spans="1:17" ht="12">
      <c r="A814" s="11"/>
      <c r="B814" s="12"/>
      <c r="C814" s="13"/>
      <c r="D814" s="10"/>
      <c r="E814" s="10" t="s">
        <v>29</v>
      </c>
      <c r="F814" s="10">
        <v>8668.33</v>
      </c>
      <c r="G814" s="10"/>
      <c r="H814" s="16">
        <v>480</v>
      </c>
      <c r="I814" s="10"/>
      <c r="J814" s="16">
        <v>420</v>
      </c>
      <c r="K814" s="10"/>
      <c r="L814" s="10"/>
      <c r="M814" s="10"/>
      <c r="N814" s="10"/>
      <c r="O814" s="10"/>
      <c r="P814" s="10"/>
      <c r="Q814" s="29">
        <f t="shared" si="282"/>
        <v>9568.33</v>
      </c>
    </row>
    <row r="815" spans="1:17" ht="12.75">
      <c r="A815" s="11"/>
      <c r="B815" s="12"/>
      <c r="C815" s="13"/>
      <c r="D815" s="10"/>
      <c r="E815" s="10" t="s">
        <v>30</v>
      </c>
      <c r="F815" s="64">
        <v>5444.34</v>
      </c>
      <c r="G815" s="10"/>
      <c r="H815" s="17">
        <v>600</v>
      </c>
      <c r="I815" s="10"/>
      <c r="J815" s="10"/>
      <c r="K815" s="10"/>
      <c r="L815" s="10"/>
      <c r="M815" s="10"/>
      <c r="N815" s="10"/>
      <c r="O815" s="10"/>
      <c r="P815" s="10"/>
      <c r="Q815" s="29">
        <f t="shared" si="282"/>
        <v>6044.34</v>
      </c>
    </row>
    <row r="816" spans="1:17" ht="12.75">
      <c r="A816" s="11"/>
      <c r="B816" s="12"/>
      <c r="C816" s="13"/>
      <c r="D816" s="10"/>
      <c r="E816" s="10" t="s">
        <v>31</v>
      </c>
      <c r="F816" s="10">
        <v>11468.759999999998</v>
      </c>
      <c r="G816" s="10"/>
      <c r="H816" s="17">
        <v>1320</v>
      </c>
      <c r="I816" s="10"/>
      <c r="J816" s="10"/>
      <c r="K816" s="10"/>
      <c r="L816" s="10"/>
      <c r="M816" s="10"/>
      <c r="N816" s="10"/>
      <c r="O816" s="10"/>
      <c r="P816" s="10"/>
      <c r="Q816" s="29">
        <f t="shared" si="282"/>
        <v>12788.759999999998</v>
      </c>
    </row>
    <row r="817" spans="1:17" ht="12">
      <c r="A817" s="11"/>
      <c r="B817" s="12"/>
      <c r="C817" s="13"/>
      <c r="D817" s="10"/>
      <c r="E817" s="14" t="s">
        <v>32</v>
      </c>
      <c r="F817" s="14">
        <f aca="true" t="shared" si="285" ref="F817:P817">SUM(F814:F816)</f>
        <v>25581.43</v>
      </c>
      <c r="G817" s="14">
        <f t="shared" si="285"/>
        <v>0</v>
      </c>
      <c r="H817" s="14">
        <f t="shared" si="285"/>
        <v>2400</v>
      </c>
      <c r="I817" s="14">
        <f t="shared" si="285"/>
        <v>0</v>
      </c>
      <c r="J817" s="14">
        <f t="shared" si="285"/>
        <v>420</v>
      </c>
      <c r="K817" s="14">
        <f t="shared" si="285"/>
        <v>0</v>
      </c>
      <c r="L817" s="14">
        <f t="shared" si="285"/>
        <v>0</v>
      </c>
      <c r="M817" s="14">
        <f t="shared" si="285"/>
        <v>0</v>
      </c>
      <c r="N817" s="14">
        <f t="shared" si="285"/>
        <v>0</v>
      </c>
      <c r="O817" s="14">
        <f t="shared" si="285"/>
        <v>0</v>
      </c>
      <c r="P817" s="14">
        <f t="shared" si="285"/>
        <v>0</v>
      </c>
      <c r="Q817" s="55">
        <f t="shared" si="282"/>
        <v>28401.43</v>
      </c>
    </row>
    <row r="818" spans="1:17" ht="12.75">
      <c r="A818" s="11"/>
      <c r="B818" s="12"/>
      <c r="C818" s="13"/>
      <c r="D818" s="10"/>
      <c r="E818" s="10" t="s">
        <v>33</v>
      </c>
      <c r="F818" s="10">
        <v>8173.61</v>
      </c>
      <c r="G818" s="10"/>
      <c r="H818" s="17">
        <v>600</v>
      </c>
      <c r="I818" s="10"/>
      <c r="J818" s="10"/>
      <c r="K818" s="10"/>
      <c r="L818" s="10"/>
      <c r="M818" s="10"/>
      <c r="N818" s="10"/>
      <c r="O818" s="10"/>
      <c r="P818" s="10"/>
      <c r="Q818" s="29">
        <f t="shared" si="282"/>
        <v>8773.61</v>
      </c>
    </row>
    <row r="819" spans="1:17" ht="12">
      <c r="A819" s="11"/>
      <c r="B819" s="12"/>
      <c r="C819" s="13"/>
      <c r="D819" s="10"/>
      <c r="E819" s="10" t="s">
        <v>34</v>
      </c>
      <c r="F819" s="10">
        <v>7556.69</v>
      </c>
      <c r="G819" s="10"/>
      <c r="H819" s="10">
        <v>840</v>
      </c>
      <c r="I819" s="10"/>
      <c r="J819" s="10"/>
      <c r="K819" s="10"/>
      <c r="L819" s="10"/>
      <c r="M819" s="10"/>
      <c r="N819" s="10"/>
      <c r="O819" s="10"/>
      <c r="P819" s="10"/>
      <c r="Q819" s="29">
        <f t="shared" si="282"/>
        <v>8396.689999999999</v>
      </c>
    </row>
    <row r="820" spans="1:17" ht="12.75">
      <c r="A820" s="11"/>
      <c r="B820" s="12"/>
      <c r="C820" s="13"/>
      <c r="D820" s="10"/>
      <c r="E820" s="10" t="s">
        <v>35</v>
      </c>
      <c r="F820" s="10">
        <v>11541.43</v>
      </c>
      <c r="G820" s="10"/>
      <c r="H820" s="18">
        <v>840</v>
      </c>
      <c r="I820" s="10"/>
      <c r="J820" s="10"/>
      <c r="K820" s="10"/>
      <c r="L820" s="10"/>
      <c r="M820" s="10"/>
      <c r="N820" s="10"/>
      <c r="O820" s="10"/>
      <c r="P820" s="10"/>
      <c r="Q820" s="29">
        <f t="shared" si="282"/>
        <v>12381.43</v>
      </c>
    </row>
    <row r="821" spans="1:17" ht="12">
      <c r="A821" s="11"/>
      <c r="B821" s="12"/>
      <c r="C821" s="13"/>
      <c r="D821" s="10"/>
      <c r="E821" s="14" t="s">
        <v>36</v>
      </c>
      <c r="F821" s="14">
        <f aca="true" t="shared" si="286" ref="F821:P821">SUM(F818:F820)</f>
        <v>27271.73</v>
      </c>
      <c r="G821" s="14">
        <f t="shared" si="286"/>
        <v>0</v>
      </c>
      <c r="H821" s="14">
        <f t="shared" si="286"/>
        <v>2280</v>
      </c>
      <c r="I821" s="14">
        <f t="shared" si="286"/>
        <v>0</v>
      </c>
      <c r="J821" s="14">
        <f t="shared" si="286"/>
        <v>0</v>
      </c>
      <c r="K821" s="14">
        <f t="shared" si="286"/>
        <v>0</v>
      </c>
      <c r="L821" s="14">
        <f t="shared" si="286"/>
        <v>0</v>
      </c>
      <c r="M821" s="14">
        <f t="shared" si="286"/>
        <v>0</v>
      </c>
      <c r="N821" s="14">
        <f t="shared" si="286"/>
        <v>0</v>
      </c>
      <c r="O821" s="14">
        <f t="shared" si="286"/>
        <v>0</v>
      </c>
      <c r="P821" s="14">
        <f t="shared" si="286"/>
        <v>0</v>
      </c>
      <c r="Q821" s="55">
        <f t="shared" si="282"/>
        <v>29551.73</v>
      </c>
    </row>
    <row r="822" spans="1:17" ht="12.75" thickBot="1">
      <c r="A822" s="11"/>
      <c r="B822" s="12"/>
      <c r="C822" s="13"/>
      <c r="D822" s="10"/>
      <c r="E822" s="22" t="s">
        <v>37</v>
      </c>
      <c r="F822" s="22">
        <f aca="true" t="shared" si="287" ref="F822:Q822">F809+F813+F817+F821</f>
        <v>90453.49</v>
      </c>
      <c r="G822" s="22">
        <f t="shared" si="287"/>
        <v>0</v>
      </c>
      <c r="H822" s="22">
        <f t="shared" si="287"/>
        <v>8280</v>
      </c>
      <c r="I822" s="22">
        <f t="shared" si="287"/>
        <v>0</v>
      </c>
      <c r="J822" s="22">
        <f t="shared" si="287"/>
        <v>840</v>
      </c>
      <c r="K822" s="22">
        <f t="shared" si="287"/>
        <v>219.39</v>
      </c>
      <c r="L822" s="22">
        <f t="shared" si="287"/>
        <v>0</v>
      </c>
      <c r="M822" s="22">
        <f t="shared" si="287"/>
        <v>0</v>
      </c>
      <c r="N822" s="22">
        <f t="shared" si="287"/>
        <v>0</v>
      </c>
      <c r="O822" s="22">
        <f t="shared" si="287"/>
        <v>0</v>
      </c>
      <c r="P822" s="35">
        <f t="shared" si="287"/>
        <v>0</v>
      </c>
      <c r="Q822" s="23">
        <f t="shared" si="287"/>
        <v>99792.87999999999</v>
      </c>
    </row>
    <row r="823" spans="1:17" ht="12">
      <c r="A823" s="11">
        <v>49</v>
      </c>
      <c r="B823" s="12">
        <v>39</v>
      </c>
      <c r="C823" s="13" t="s">
        <v>132</v>
      </c>
      <c r="D823" s="10" t="s">
        <v>133</v>
      </c>
      <c r="E823" s="10" t="s">
        <v>21</v>
      </c>
      <c r="F823" s="10">
        <v>8804.53</v>
      </c>
      <c r="G823" s="10"/>
      <c r="H823" s="10">
        <v>360</v>
      </c>
      <c r="I823" s="10"/>
      <c r="J823" s="10"/>
      <c r="K823" s="10">
        <v>8623.92</v>
      </c>
      <c r="L823" s="10"/>
      <c r="M823" s="10"/>
      <c r="N823" s="10"/>
      <c r="O823" s="10"/>
      <c r="P823" s="10"/>
      <c r="Q823" s="29">
        <f aca="true" t="shared" si="288" ref="Q823:Q838">SUM(F823:P823)</f>
        <v>17788.45</v>
      </c>
    </row>
    <row r="824" spans="1:17" ht="12">
      <c r="A824" s="11"/>
      <c r="B824" s="12"/>
      <c r="C824" s="13"/>
      <c r="D824" s="10"/>
      <c r="E824" s="10" t="s">
        <v>22</v>
      </c>
      <c r="F824" s="10">
        <v>17552.67</v>
      </c>
      <c r="G824" s="10"/>
      <c r="H824" s="10">
        <v>1080</v>
      </c>
      <c r="I824" s="10"/>
      <c r="J824" s="10"/>
      <c r="K824" s="10">
        <v>13773.72</v>
      </c>
      <c r="L824" s="10"/>
      <c r="M824" s="10"/>
      <c r="N824" s="10"/>
      <c r="O824" s="10"/>
      <c r="P824" s="10"/>
      <c r="Q824" s="29">
        <f t="shared" si="288"/>
        <v>32406.39</v>
      </c>
    </row>
    <row r="825" spans="1:17" ht="12">
      <c r="A825" s="11"/>
      <c r="B825" s="12"/>
      <c r="C825" s="13"/>
      <c r="D825" s="10"/>
      <c r="E825" s="10" t="s">
        <v>23</v>
      </c>
      <c r="F825" s="10">
        <v>13704.3</v>
      </c>
      <c r="G825" s="10"/>
      <c r="H825" s="10">
        <v>840</v>
      </c>
      <c r="I825" s="10"/>
      <c r="J825" s="10"/>
      <c r="K825" s="10">
        <v>2265.49</v>
      </c>
      <c r="L825" s="10"/>
      <c r="M825" s="10"/>
      <c r="N825" s="10"/>
      <c r="O825" s="10"/>
      <c r="P825" s="10"/>
      <c r="Q825" s="29">
        <f t="shared" si="288"/>
        <v>16809.79</v>
      </c>
    </row>
    <row r="826" spans="1:17" ht="12">
      <c r="A826" s="11"/>
      <c r="B826" s="12"/>
      <c r="C826" s="13"/>
      <c r="D826" s="10"/>
      <c r="E826" s="14" t="s">
        <v>24</v>
      </c>
      <c r="F826" s="14">
        <f aca="true" t="shared" si="289" ref="F826:P826">SUM(F823:F825)</f>
        <v>40061.5</v>
      </c>
      <c r="G826" s="14">
        <f t="shared" si="289"/>
        <v>0</v>
      </c>
      <c r="H826" s="14">
        <f t="shared" si="289"/>
        <v>2280</v>
      </c>
      <c r="I826" s="14">
        <f t="shared" si="289"/>
        <v>0</v>
      </c>
      <c r="J826" s="14">
        <f t="shared" si="289"/>
        <v>0</v>
      </c>
      <c r="K826" s="14">
        <f t="shared" si="289"/>
        <v>24663.129999999997</v>
      </c>
      <c r="L826" s="14">
        <f t="shared" si="289"/>
        <v>0</v>
      </c>
      <c r="M826" s="14">
        <f t="shared" si="289"/>
        <v>0</v>
      </c>
      <c r="N826" s="14">
        <f t="shared" si="289"/>
        <v>0</v>
      </c>
      <c r="O826" s="14">
        <f t="shared" si="289"/>
        <v>0</v>
      </c>
      <c r="P826" s="14">
        <f t="shared" si="289"/>
        <v>0</v>
      </c>
      <c r="Q826" s="55">
        <f t="shared" si="288"/>
        <v>67004.63</v>
      </c>
    </row>
    <row r="827" spans="1:17" ht="12">
      <c r="A827" s="11"/>
      <c r="B827" s="12"/>
      <c r="C827" s="13"/>
      <c r="D827" s="10"/>
      <c r="E827" s="10" t="s">
        <v>25</v>
      </c>
      <c r="F827" s="10">
        <v>10304.28</v>
      </c>
      <c r="G827" s="10"/>
      <c r="H827" s="10">
        <v>600</v>
      </c>
      <c r="I827" s="10"/>
      <c r="J827" s="10"/>
      <c r="K827" s="10">
        <v>1196.9</v>
      </c>
      <c r="L827" s="10"/>
      <c r="M827" s="10"/>
      <c r="N827" s="10"/>
      <c r="O827" s="10"/>
      <c r="P827" s="10"/>
      <c r="Q827" s="29">
        <f t="shared" si="288"/>
        <v>12101.18</v>
      </c>
    </row>
    <row r="828" spans="1:17" ht="12">
      <c r="A828" s="11"/>
      <c r="B828" s="12"/>
      <c r="C828" s="13"/>
      <c r="D828" s="10"/>
      <c r="E828" s="10" t="s">
        <v>26</v>
      </c>
      <c r="F828" s="10">
        <v>22136.35</v>
      </c>
      <c r="G828" s="10"/>
      <c r="H828" s="10">
        <v>1068</v>
      </c>
      <c r="I828" s="10"/>
      <c r="J828" s="10">
        <v>480</v>
      </c>
      <c r="K828" s="10">
        <v>1389.68</v>
      </c>
      <c r="L828" s="10"/>
      <c r="M828" s="10"/>
      <c r="N828" s="10"/>
      <c r="O828" s="10"/>
      <c r="P828" s="10"/>
      <c r="Q828" s="29">
        <f t="shared" si="288"/>
        <v>25074.03</v>
      </c>
    </row>
    <row r="829" spans="1:17" ht="12">
      <c r="A829" s="11"/>
      <c r="B829" s="12"/>
      <c r="C829" s="13"/>
      <c r="D829" s="10"/>
      <c r="E829" s="10" t="s">
        <v>27</v>
      </c>
      <c r="F829" s="15">
        <f>11907.53-11907.53</f>
        <v>0</v>
      </c>
      <c r="G829" s="10"/>
      <c r="H829" s="10">
        <v>480</v>
      </c>
      <c r="I829" s="10"/>
      <c r="J829" s="10"/>
      <c r="K829" s="10">
        <v>2450.5</v>
      </c>
      <c r="L829" s="10"/>
      <c r="M829" s="10"/>
      <c r="N829" s="10"/>
      <c r="O829" s="10"/>
      <c r="P829" s="10"/>
      <c r="Q829" s="29">
        <f t="shared" si="288"/>
        <v>2930.5</v>
      </c>
    </row>
    <row r="830" spans="1:17" ht="12">
      <c r="A830" s="11"/>
      <c r="B830" s="12"/>
      <c r="C830" s="13"/>
      <c r="D830" s="10"/>
      <c r="E830" s="14" t="s">
        <v>28</v>
      </c>
      <c r="F830" s="14">
        <f aca="true" t="shared" si="290" ref="F830:P830">SUM(F827:F829)</f>
        <v>32440.629999999997</v>
      </c>
      <c r="G830" s="14">
        <f t="shared" si="290"/>
        <v>0</v>
      </c>
      <c r="H830" s="14">
        <f t="shared" si="290"/>
        <v>2148</v>
      </c>
      <c r="I830" s="14">
        <f t="shared" si="290"/>
        <v>0</v>
      </c>
      <c r="J830" s="14">
        <f t="shared" si="290"/>
        <v>480</v>
      </c>
      <c r="K830" s="14">
        <f t="shared" si="290"/>
        <v>5037.08</v>
      </c>
      <c r="L830" s="14">
        <f t="shared" si="290"/>
        <v>0</v>
      </c>
      <c r="M830" s="14">
        <f t="shared" si="290"/>
        <v>0</v>
      </c>
      <c r="N830" s="14">
        <f t="shared" si="290"/>
        <v>0</v>
      </c>
      <c r="O830" s="14">
        <f t="shared" si="290"/>
        <v>0</v>
      </c>
      <c r="P830" s="14">
        <f t="shared" si="290"/>
        <v>0</v>
      </c>
      <c r="Q830" s="55">
        <f t="shared" si="288"/>
        <v>40105.71</v>
      </c>
    </row>
    <row r="831" spans="1:17" ht="12">
      <c r="A831" s="11"/>
      <c r="B831" s="12"/>
      <c r="C831" s="13"/>
      <c r="D831" s="10"/>
      <c r="E831" s="10" t="s">
        <v>29</v>
      </c>
      <c r="F831" s="15">
        <f>11907.53+7159.99</f>
        <v>19067.52</v>
      </c>
      <c r="G831" s="10"/>
      <c r="H831" s="16">
        <v>360</v>
      </c>
      <c r="I831" s="10"/>
      <c r="J831" s="10"/>
      <c r="K831" s="16">
        <v>2223.16</v>
      </c>
      <c r="L831" s="10"/>
      <c r="M831" s="10"/>
      <c r="N831" s="10"/>
      <c r="O831" s="10"/>
      <c r="P831" s="10"/>
      <c r="Q831" s="29">
        <f t="shared" si="288"/>
        <v>21650.68</v>
      </c>
    </row>
    <row r="832" spans="1:17" ht="12.75">
      <c r="A832" s="11"/>
      <c r="B832" s="12"/>
      <c r="C832" s="13"/>
      <c r="D832" s="10"/>
      <c r="E832" s="10" t="s">
        <v>30</v>
      </c>
      <c r="F832" s="10">
        <v>22547.98</v>
      </c>
      <c r="G832" s="10"/>
      <c r="H832" s="17">
        <v>1200</v>
      </c>
      <c r="I832" s="10"/>
      <c r="J832" s="17">
        <v>960</v>
      </c>
      <c r="K832" s="17">
        <v>294.37</v>
      </c>
      <c r="L832" s="10"/>
      <c r="M832" s="10"/>
      <c r="N832" s="10"/>
      <c r="O832" s="10"/>
      <c r="P832" s="10"/>
      <c r="Q832" s="29">
        <f t="shared" si="288"/>
        <v>25002.35</v>
      </c>
    </row>
    <row r="833" spans="1:17" ht="12.75">
      <c r="A833" s="11"/>
      <c r="B833" s="12"/>
      <c r="C833" s="13"/>
      <c r="D833" s="10"/>
      <c r="E833" s="10" t="s">
        <v>31</v>
      </c>
      <c r="F833" s="10">
        <v>14329.34</v>
      </c>
      <c r="G833" s="10"/>
      <c r="H833" s="17">
        <v>240</v>
      </c>
      <c r="I833" s="10"/>
      <c r="J833" s="10"/>
      <c r="K833" s="17">
        <v>1885.99</v>
      </c>
      <c r="L833" s="10"/>
      <c r="M833" s="10"/>
      <c r="N833" s="10"/>
      <c r="O833" s="10"/>
      <c r="P833" s="10"/>
      <c r="Q833" s="29">
        <f t="shared" si="288"/>
        <v>16455.33</v>
      </c>
    </row>
    <row r="834" spans="1:17" ht="12">
      <c r="A834" s="11"/>
      <c r="B834" s="12"/>
      <c r="C834" s="13"/>
      <c r="D834" s="10"/>
      <c r="E834" s="14" t="s">
        <v>32</v>
      </c>
      <c r="F834" s="14">
        <f aca="true" t="shared" si="291" ref="F834:P834">SUM(F831:F833)</f>
        <v>55944.84</v>
      </c>
      <c r="G834" s="14">
        <f t="shared" si="291"/>
        <v>0</v>
      </c>
      <c r="H834" s="14">
        <f t="shared" si="291"/>
        <v>1800</v>
      </c>
      <c r="I834" s="14">
        <f t="shared" si="291"/>
        <v>0</v>
      </c>
      <c r="J834" s="14">
        <f t="shared" si="291"/>
        <v>960</v>
      </c>
      <c r="K834" s="14">
        <f t="shared" si="291"/>
        <v>4403.5199999999995</v>
      </c>
      <c r="L834" s="14">
        <f t="shared" si="291"/>
        <v>0</v>
      </c>
      <c r="M834" s="14">
        <f t="shared" si="291"/>
        <v>0</v>
      </c>
      <c r="N834" s="14">
        <f t="shared" si="291"/>
        <v>0</v>
      </c>
      <c r="O834" s="14">
        <f t="shared" si="291"/>
        <v>0</v>
      </c>
      <c r="P834" s="14">
        <f t="shared" si="291"/>
        <v>0</v>
      </c>
      <c r="Q834" s="55">
        <f t="shared" si="288"/>
        <v>63108.35999999999</v>
      </c>
    </row>
    <row r="835" spans="1:17" ht="12.75">
      <c r="A835" s="11"/>
      <c r="B835" s="12"/>
      <c r="C835" s="13"/>
      <c r="D835" s="10"/>
      <c r="E835" s="10" t="s">
        <v>33</v>
      </c>
      <c r="F835" s="10">
        <v>8881.39</v>
      </c>
      <c r="G835" s="10"/>
      <c r="H835" s="17">
        <v>600</v>
      </c>
      <c r="I835" s="10"/>
      <c r="J835" s="10"/>
      <c r="K835" s="17">
        <v>2007.97</v>
      </c>
      <c r="L835" s="10"/>
      <c r="M835" s="10"/>
      <c r="N835" s="10"/>
      <c r="O835" s="17"/>
      <c r="P835" s="17"/>
      <c r="Q835" s="29">
        <f t="shared" si="288"/>
        <v>11489.359999999999</v>
      </c>
    </row>
    <row r="836" spans="1:17" ht="12.75">
      <c r="A836" s="11"/>
      <c r="B836" s="12"/>
      <c r="C836" s="13"/>
      <c r="D836" s="10"/>
      <c r="E836" s="10" t="s">
        <v>34</v>
      </c>
      <c r="F836" s="10">
        <v>23326.7</v>
      </c>
      <c r="G836" s="10"/>
      <c r="H836" s="17">
        <v>1200</v>
      </c>
      <c r="I836" s="10"/>
      <c r="J836" s="17">
        <v>960</v>
      </c>
      <c r="K836" s="17">
        <v>272.15</v>
      </c>
      <c r="L836" s="10"/>
      <c r="M836" s="10"/>
      <c r="N836" s="10"/>
      <c r="O836" s="10"/>
      <c r="P836" s="10"/>
      <c r="Q836" s="29">
        <f t="shared" si="288"/>
        <v>25758.850000000002</v>
      </c>
    </row>
    <row r="837" spans="1:17" ht="12.75">
      <c r="A837" s="11"/>
      <c r="B837" s="12"/>
      <c r="C837" s="13"/>
      <c r="D837" s="10"/>
      <c r="E837" s="10" t="s">
        <v>35</v>
      </c>
      <c r="F837" s="10">
        <v>11850.61</v>
      </c>
      <c r="G837" s="10"/>
      <c r="H837" s="18">
        <v>120</v>
      </c>
      <c r="I837" s="10"/>
      <c r="J837" s="10"/>
      <c r="K837" s="10"/>
      <c r="L837" s="10"/>
      <c r="M837" s="10"/>
      <c r="N837" s="10"/>
      <c r="O837" s="10"/>
      <c r="P837" s="10"/>
      <c r="Q837" s="29">
        <f t="shared" si="288"/>
        <v>11970.61</v>
      </c>
    </row>
    <row r="838" spans="1:17" ht="12">
      <c r="A838" s="11"/>
      <c r="B838" s="12"/>
      <c r="C838" s="13"/>
      <c r="D838" s="10"/>
      <c r="E838" s="14" t="s">
        <v>36</v>
      </c>
      <c r="F838" s="14">
        <f aca="true" t="shared" si="292" ref="F838:P838">SUM(F835:F837)</f>
        <v>44058.7</v>
      </c>
      <c r="G838" s="14">
        <f t="shared" si="292"/>
        <v>0</v>
      </c>
      <c r="H838" s="14">
        <f t="shared" si="292"/>
        <v>1920</v>
      </c>
      <c r="I838" s="14">
        <f t="shared" si="292"/>
        <v>0</v>
      </c>
      <c r="J838" s="14">
        <f t="shared" si="292"/>
        <v>960</v>
      </c>
      <c r="K838" s="14">
        <f t="shared" si="292"/>
        <v>2280.12</v>
      </c>
      <c r="L838" s="14">
        <f t="shared" si="292"/>
        <v>0</v>
      </c>
      <c r="M838" s="14">
        <f t="shared" si="292"/>
        <v>0</v>
      </c>
      <c r="N838" s="14">
        <f t="shared" si="292"/>
        <v>0</v>
      </c>
      <c r="O838" s="14">
        <f t="shared" si="292"/>
        <v>0</v>
      </c>
      <c r="P838" s="14">
        <f t="shared" si="292"/>
        <v>0</v>
      </c>
      <c r="Q838" s="55">
        <f t="shared" si="288"/>
        <v>49218.82</v>
      </c>
    </row>
    <row r="839" spans="1:17" ht="12.75" thickBot="1">
      <c r="A839" s="11"/>
      <c r="B839" s="12"/>
      <c r="C839" s="13"/>
      <c r="D839" s="10"/>
      <c r="E839" s="22" t="s">
        <v>37</v>
      </c>
      <c r="F839" s="22">
        <f aca="true" t="shared" si="293" ref="F839:Q839">F826+F830+F834+F838</f>
        <v>172505.66999999998</v>
      </c>
      <c r="G839" s="22">
        <f t="shared" si="293"/>
        <v>0</v>
      </c>
      <c r="H839" s="22">
        <f t="shared" si="293"/>
        <v>8148</v>
      </c>
      <c r="I839" s="22">
        <f t="shared" si="293"/>
        <v>0</v>
      </c>
      <c r="J839" s="22">
        <f t="shared" si="293"/>
        <v>2400</v>
      </c>
      <c r="K839" s="22">
        <f t="shared" si="293"/>
        <v>36383.85</v>
      </c>
      <c r="L839" s="22">
        <f t="shared" si="293"/>
        <v>0</v>
      </c>
      <c r="M839" s="22">
        <f t="shared" si="293"/>
        <v>0</v>
      </c>
      <c r="N839" s="22">
        <f t="shared" si="293"/>
        <v>0</v>
      </c>
      <c r="O839" s="22">
        <f t="shared" si="293"/>
        <v>0</v>
      </c>
      <c r="P839" s="35">
        <f t="shared" si="293"/>
        <v>0</v>
      </c>
      <c r="Q839" s="23">
        <f t="shared" si="293"/>
        <v>219437.52</v>
      </c>
    </row>
    <row r="840" spans="1:17" ht="12">
      <c r="A840" s="11">
        <v>50</v>
      </c>
      <c r="B840" s="12">
        <v>15</v>
      </c>
      <c r="C840" s="39" t="s">
        <v>134</v>
      </c>
      <c r="D840" s="40" t="s">
        <v>135</v>
      </c>
      <c r="E840" s="10" t="s">
        <v>21</v>
      </c>
      <c r="F840" s="10">
        <v>5011.89</v>
      </c>
      <c r="G840" s="10"/>
      <c r="H840" s="10">
        <v>360</v>
      </c>
      <c r="I840" s="10"/>
      <c r="J840" s="10"/>
      <c r="K840" s="10">
        <v>492.8</v>
      </c>
      <c r="L840" s="10"/>
      <c r="M840" s="10"/>
      <c r="N840" s="10"/>
      <c r="O840" s="10"/>
      <c r="P840" s="10"/>
      <c r="Q840" s="29">
        <f aca="true" t="shared" si="294" ref="Q840:Q855">SUM(F840:P840)</f>
        <v>5864.6900000000005</v>
      </c>
    </row>
    <row r="841" spans="1:17" ht="12">
      <c r="A841" s="11"/>
      <c r="B841" s="12"/>
      <c r="C841" s="39"/>
      <c r="D841" s="41"/>
      <c r="E841" s="10" t="s">
        <v>22</v>
      </c>
      <c r="F841" s="10">
        <v>11053.85</v>
      </c>
      <c r="G841" s="10"/>
      <c r="H841" s="10">
        <v>960</v>
      </c>
      <c r="I841" s="10"/>
      <c r="J841" s="10"/>
      <c r="K841" s="10">
        <v>296.14</v>
      </c>
      <c r="L841" s="10"/>
      <c r="M841" s="10"/>
      <c r="N841" s="10"/>
      <c r="O841" s="10"/>
      <c r="P841" s="10"/>
      <c r="Q841" s="29">
        <f t="shared" si="294"/>
        <v>12309.99</v>
      </c>
    </row>
    <row r="842" spans="1:17" ht="12">
      <c r="A842" s="11"/>
      <c r="B842" s="12"/>
      <c r="C842" s="39"/>
      <c r="D842" s="41"/>
      <c r="E842" s="10" t="s">
        <v>23</v>
      </c>
      <c r="F842" s="10">
        <v>8245.1</v>
      </c>
      <c r="G842" s="10"/>
      <c r="H842" s="10">
        <v>1200</v>
      </c>
      <c r="I842" s="10"/>
      <c r="J842" s="10"/>
      <c r="K842" s="10">
        <v>236.45</v>
      </c>
      <c r="L842" s="10"/>
      <c r="M842" s="10"/>
      <c r="N842" s="10"/>
      <c r="O842" s="10"/>
      <c r="P842" s="10"/>
      <c r="Q842" s="29">
        <f t="shared" si="294"/>
        <v>9681.550000000001</v>
      </c>
    </row>
    <row r="843" spans="1:17" ht="12">
      <c r="A843" s="11"/>
      <c r="B843" s="12"/>
      <c r="C843" s="39"/>
      <c r="D843" s="41"/>
      <c r="E843" s="14" t="s">
        <v>24</v>
      </c>
      <c r="F843" s="14">
        <f aca="true" t="shared" si="295" ref="F843:P843">SUM(F840:F842)</f>
        <v>24310.840000000004</v>
      </c>
      <c r="G843" s="14">
        <f t="shared" si="295"/>
        <v>0</v>
      </c>
      <c r="H843" s="14">
        <f t="shared" si="295"/>
        <v>2520</v>
      </c>
      <c r="I843" s="14">
        <f t="shared" si="295"/>
        <v>0</v>
      </c>
      <c r="J843" s="14">
        <f t="shared" si="295"/>
        <v>0</v>
      </c>
      <c r="K843" s="14">
        <f t="shared" si="295"/>
        <v>1025.39</v>
      </c>
      <c r="L843" s="14">
        <f t="shared" si="295"/>
        <v>0</v>
      </c>
      <c r="M843" s="14">
        <f t="shared" si="295"/>
        <v>0</v>
      </c>
      <c r="N843" s="14">
        <f t="shared" si="295"/>
        <v>0</v>
      </c>
      <c r="O843" s="14">
        <f t="shared" si="295"/>
        <v>0</v>
      </c>
      <c r="P843" s="14">
        <f t="shared" si="295"/>
        <v>0</v>
      </c>
      <c r="Q843" s="55">
        <f t="shared" si="294"/>
        <v>27856.230000000003</v>
      </c>
    </row>
    <row r="844" spans="1:17" ht="12">
      <c r="A844" s="11"/>
      <c r="B844" s="12"/>
      <c r="C844" s="39"/>
      <c r="D844" s="41"/>
      <c r="E844" s="10" t="s">
        <v>25</v>
      </c>
      <c r="F844" s="10">
        <v>4587.35</v>
      </c>
      <c r="G844" s="10"/>
      <c r="H844" s="10">
        <v>360</v>
      </c>
      <c r="I844" s="10"/>
      <c r="J844" s="10"/>
      <c r="K844" s="10">
        <v>330.1</v>
      </c>
      <c r="L844" s="10"/>
      <c r="M844" s="10"/>
      <c r="N844" s="10"/>
      <c r="O844" s="10"/>
      <c r="P844" s="10"/>
      <c r="Q844" s="29">
        <f t="shared" si="294"/>
        <v>5277.450000000001</v>
      </c>
    </row>
    <row r="845" spans="1:17" ht="12">
      <c r="A845" s="11"/>
      <c r="B845" s="12"/>
      <c r="C845" s="39"/>
      <c r="D845" s="41"/>
      <c r="E845" s="10" t="s">
        <v>26</v>
      </c>
      <c r="F845" s="10">
        <v>5489.4</v>
      </c>
      <c r="G845" s="10"/>
      <c r="H845" s="10">
        <v>600</v>
      </c>
      <c r="I845" s="10"/>
      <c r="J845" s="10"/>
      <c r="K845" s="10">
        <v>566.55</v>
      </c>
      <c r="L845" s="10"/>
      <c r="M845" s="10"/>
      <c r="N845" s="10"/>
      <c r="O845" s="10"/>
      <c r="P845" s="10"/>
      <c r="Q845" s="29">
        <f t="shared" si="294"/>
        <v>6655.95</v>
      </c>
    </row>
    <row r="846" spans="1:17" ht="12">
      <c r="A846" s="11"/>
      <c r="B846" s="12"/>
      <c r="C846" s="39"/>
      <c r="D846" s="41"/>
      <c r="E846" s="10" t="s">
        <v>27</v>
      </c>
      <c r="F846" s="10">
        <v>6998.18</v>
      </c>
      <c r="G846" s="10"/>
      <c r="H846" s="10">
        <v>960</v>
      </c>
      <c r="I846" s="10"/>
      <c r="J846" s="10"/>
      <c r="K846" s="10"/>
      <c r="L846" s="10"/>
      <c r="M846" s="10"/>
      <c r="N846" s="10"/>
      <c r="O846" s="10"/>
      <c r="P846" s="10"/>
      <c r="Q846" s="29">
        <f t="shared" si="294"/>
        <v>7958.18</v>
      </c>
    </row>
    <row r="847" spans="1:17" ht="12">
      <c r="A847" s="11"/>
      <c r="B847" s="12"/>
      <c r="C847" s="39"/>
      <c r="D847" s="41"/>
      <c r="E847" s="14" t="s">
        <v>28</v>
      </c>
      <c r="F847" s="14">
        <f aca="true" t="shared" si="296" ref="F847:P847">SUM(F844:F846)</f>
        <v>17074.93</v>
      </c>
      <c r="G847" s="14">
        <f t="shared" si="296"/>
        <v>0</v>
      </c>
      <c r="H847" s="14">
        <f t="shared" si="296"/>
        <v>1920</v>
      </c>
      <c r="I847" s="14">
        <f t="shared" si="296"/>
        <v>0</v>
      </c>
      <c r="J847" s="14">
        <f t="shared" si="296"/>
        <v>0</v>
      </c>
      <c r="K847" s="14">
        <f t="shared" si="296"/>
        <v>896.65</v>
      </c>
      <c r="L847" s="14">
        <f t="shared" si="296"/>
        <v>0</v>
      </c>
      <c r="M847" s="14">
        <f t="shared" si="296"/>
        <v>0</v>
      </c>
      <c r="N847" s="14">
        <f t="shared" si="296"/>
        <v>0</v>
      </c>
      <c r="O847" s="14">
        <f t="shared" si="296"/>
        <v>0</v>
      </c>
      <c r="P847" s="14">
        <f t="shared" si="296"/>
        <v>0</v>
      </c>
      <c r="Q847" s="55">
        <f t="shared" si="294"/>
        <v>19891.58</v>
      </c>
    </row>
    <row r="848" spans="1:17" ht="12">
      <c r="A848" s="11"/>
      <c r="B848" s="12"/>
      <c r="C848" s="39"/>
      <c r="D848" s="41"/>
      <c r="E848" s="10" t="s">
        <v>29</v>
      </c>
      <c r="F848" s="10">
        <v>662.35</v>
      </c>
      <c r="G848" s="10"/>
      <c r="H848" s="10"/>
      <c r="I848" s="10"/>
      <c r="J848" s="10"/>
      <c r="K848" s="10">
        <v>566.55</v>
      </c>
      <c r="L848" s="10"/>
      <c r="M848" s="10"/>
      <c r="N848" s="10"/>
      <c r="O848" s="10"/>
      <c r="P848" s="10"/>
      <c r="Q848" s="29">
        <f t="shared" si="294"/>
        <v>1228.9</v>
      </c>
    </row>
    <row r="849" spans="1:17" ht="12.75">
      <c r="A849" s="11"/>
      <c r="B849" s="12"/>
      <c r="C849" s="39"/>
      <c r="D849" s="41"/>
      <c r="E849" s="10" t="s">
        <v>30</v>
      </c>
      <c r="F849" s="10">
        <v>5363.5</v>
      </c>
      <c r="G849" s="10"/>
      <c r="H849" s="17">
        <v>600</v>
      </c>
      <c r="I849" s="10"/>
      <c r="J849" s="17">
        <v>420</v>
      </c>
      <c r="K849" s="17">
        <v>532.59</v>
      </c>
      <c r="L849" s="10"/>
      <c r="M849" s="10"/>
      <c r="N849" s="10"/>
      <c r="O849" s="10"/>
      <c r="P849" s="10"/>
      <c r="Q849" s="29">
        <f t="shared" si="294"/>
        <v>6916.09</v>
      </c>
    </row>
    <row r="850" spans="1:17" ht="12.75">
      <c r="A850" s="11"/>
      <c r="B850" s="12"/>
      <c r="C850" s="39"/>
      <c r="D850" s="41"/>
      <c r="E850" s="10" t="s">
        <v>31</v>
      </c>
      <c r="F850" s="10">
        <v>5858.4</v>
      </c>
      <c r="G850" s="10"/>
      <c r="H850" s="17">
        <v>840</v>
      </c>
      <c r="I850" s="10"/>
      <c r="J850" s="10"/>
      <c r="K850" s="17">
        <v>472.9</v>
      </c>
      <c r="L850" s="10"/>
      <c r="M850" s="10"/>
      <c r="N850" s="10"/>
      <c r="O850" s="10"/>
      <c r="P850" s="10"/>
      <c r="Q850" s="29">
        <f t="shared" si="294"/>
        <v>7171.299999999999</v>
      </c>
    </row>
    <row r="851" spans="1:17" ht="12">
      <c r="A851" s="11"/>
      <c r="B851" s="12"/>
      <c r="C851" s="39"/>
      <c r="D851" s="41"/>
      <c r="E851" s="14" t="s">
        <v>32</v>
      </c>
      <c r="F851" s="14">
        <f aca="true" t="shared" si="297" ref="F851:P851">SUM(F848:F850)</f>
        <v>11884.25</v>
      </c>
      <c r="G851" s="14">
        <f t="shared" si="297"/>
        <v>0</v>
      </c>
      <c r="H851" s="14">
        <f t="shared" si="297"/>
        <v>1440</v>
      </c>
      <c r="I851" s="14">
        <f t="shared" si="297"/>
        <v>0</v>
      </c>
      <c r="J851" s="14">
        <f t="shared" si="297"/>
        <v>420</v>
      </c>
      <c r="K851" s="14">
        <f t="shared" si="297"/>
        <v>1572.04</v>
      </c>
      <c r="L851" s="14">
        <f t="shared" si="297"/>
        <v>0</v>
      </c>
      <c r="M851" s="14">
        <f t="shared" si="297"/>
        <v>0</v>
      </c>
      <c r="N851" s="14">
        <f t="shared" si="297"/>
        <v>0</v>
      </c>
      <c r="O851" s="14">
        <f t="shared" si="297"/>
        <v>0</v>
      </c>
      <c r="P851" s="14">
        <f t="shared" si="297"/>
        <v>0</v>
      </c>
      <c r="Q851" s="55">
        <f t="shared" si="294"/>
        <v>15316.29</v>
      </c>
    </row>
    <row r="852" spans="1:17" ht="12.75">
      <c r="A852" s="11"/>
      <c r="B852" s="12"/>
      <c r="C852" s="39"/>
      <c r="D852" s="41"/>
      <c r="E852" s="10" t="s">
        <v>33</v>
      </c>
      <c r="F852" s="17">
        <v>777.54</v>
      </c>
      <c r="G852" s="10"/>
      <c r="H852" s="10"/>
      <c r="I852" s="10"/>
      <c r="J852" s="10"/>
      <c r="K852" s="17">
        <v>532.59</v>
      </c>
      <c r="L852" s="10"/>
      <c r="M852" s="10"/>
      <c r="N852" s="10"/>
      <c r="O852" s="10"/>
      <c r="P852" s="10"/>
      <c r="Q852" s="29">
        <f t="shared" si="294"/>
        <v>1310.13</v>
      </c>
    </row>
    <row r="853" spans="1:17" ht="12.75">
      <c r="A853" s="11"/>
      <c r="B853" s="12"/>
      <c r="C853" s="39"/>
      <c r="D853" s="41"/>
      <c r="E853" s="10" t="s">
        <v>34</v>
      </c>
      <c r="F853" s="10">
        <v>4779.53</v>
      </c>
      <c r="G853" s="10"/>
      <c r="H853" s="17">
        <v>360</v>
      </c>
      <c r="I853" s="10"/>
      <c r="J853" s="10"/>
      <c r="K853" s="17">
        <v>532.59</v>
      </c>
      <c r="L853" s="10"/>
      <c r="M853" s="10"/>
      <c r="N853" s="10"/>
      <c r="O853" s="10"/>
      <c r="P853" s="10"/>
      <c r="Q853" s="29">
        <f t="shared" si="294"/>
        <v>5672.12</v>
      </c>
    </row>
    <row r="854" spans="1:17" ht="12.75">
      <c r="A854" s="11"/>
      <c r="B854" s="12"/>
      <c r="C854" s="39"/>
      <c r="D854" s="41"/>
      <c r="E854" s="10" t="s">
        <v>35</v>
      </c>
      <c r="F854" s="10">
        <v>5383.89</v>
      </c>
      <c r="G854" s="10"/>
      <c r="H854" s="18">
        <v>840</v>
      </c>
      <c r="I854" s="10"/>
      <c r="J854" s="10"/>
      <c r="K854" s="10"/>
      <c r="L854" s="10"/>
      <c r="M854" s="10"/>
      <c r="N854" s="10"/>
      <c r="O854" s="10"/>
      <c r="P854" s="10"/>
      <c r="Q854" s="29">
        <f t="shared" si="294"/>
        <v>6223.89</v>
      </c>
    </row>
    <row r="855" spans="1:17" ht="12">
      <c r="A855" s="11"/>
      <c r="B855" s="12"/>
      <c r="C855" s="39"/>
      <c r="D855" s="41"/>
      <c r="E855" s="14" t="s">
        <v>36</v>
      </c>
      <c r="F855" s="14">
        <f aca="true" t="shared" si="298" ref="F855:P855">SUM(F852:F854)</f>
        <v>10940.96</v>
      </c>
      <c r="G855" s="14">
        <f t="shared" si="298"/>
        <v>0</v>
      </c>
      <c r="H855" s="14">
        <f t="shared" si="298"/>
        <v>1200</v>
      </c>
      <c r="I855" s="14">
        <f t="shared" si="298"/>
        <v>0</v>
      </c>
      <c r="J855" s="14">
        <f t="shared" si="298"/>
        <v>0</v>
      </c>
      <c r="K855" s="14">
        <f t="shared" si="298"/>
        <v>1065.18</v>
      </c>
      <c r="L855" s="14">
        <f t="shared" si="298"/>
        <v>0</v>
      </c>
      <c r="M855" s="14">
        <f t="shared" si="298"/>
        <v>0</v>
      </c>
      <c r="N855" s="14">
        <f t="shared" si="298"/>
        <v>0</v>
      </c>
      <c r="O855" s="14">
        <f t="shared" si="298"/>
        <v>0</v>
      </c>
      <c r="P855" s="14">
        <f t="shared" si="298"/>
        <v>0</v>
      </c>
      <c r="Q855" s="55">
        <f t="shared" si="294"/>
        <v>13206.14</v>
      </c>
    </row>
    <row r="856" spans="1:17" ht="12.75" thickBot="1">
      <c r="A856" s="11"/>
      <c r="B856" s="12"/>
      <c r="C856" s="39"/>
      <c r="D856" s="41"/>
      <c r="E856" s="22" t="s">
        <v>37</v>
      </c>
      <c r="F856" s="22">
        <f aca="true" t="shared" si="299" ref="F856:Q856">F843+F847+F851+F855</f>
        <v>64210.98</v>
      </c>
      <c r="G856" s="22">
        <f t="shared" si="299"/>
        <v>0</v>
      </c>
      <c r="H856" s="22">
        <f t="shared" si="299"/>
        <v>7080</v>
      </c>
      <c r="I856" s="22">
        <f t="shared" si="299"/>
        <v>0</v>
      </c>
      <c r="J856" s="22">
        <f t="shared" si="299"/>
        <v>420</v>
      </c>
      <c r="K856" s="22">
        <f t="shared" si="299"/>
        <v>4559.26</v>
      </c>
      <c r="L856" s="22">
        <f t="shared" si="299"/>
        <v>0</v>
      </c>
      <c r="M856" s="22">
        <f t="shared" si="299"/>
        <v>0</v>
      </c>
      <c r="N856" s="22">
        <f t="shared" si="299"/>
        <v>0</v>
      </c>
      <c r="O856" s="22">
        <f t="shared" si="299"/>
        <v>0</v>
      </c>
      <c r="P856" s="35">
        <f t="shared" si="299"/>
        <v>0</v>
      </c>
      <c r="Q856" s="23">
        <f t="shared" si="299"/>
        <v>76270.24</v>
      </c>
    </row>
    <row r="857" spans="1:17" ht="12">
      <c r="A857" s="11">
        <v>51</v>
      </c>
      <c r="B857" s="12">
        <v>22</v>
      </c>
      <c r="C857" s="39" t="s">
        <v>136</v>
      </c>
      <c r="D857" s="41" t="s">
        <v>137</v>
      </c>
      <c r="E857" s="10" t="s">
        <v>21</v>
      </c>
      <c r="F857" s="10">
        <v>713.18</v>
      </c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29">
        <f aca="true" t="shared" si="300" ref="Q857:Q872">SUM(F857:P857)</f>
        <v>713.18</v>
      </c>
    </row>
    <row r="858" spans="1:17" ht="12">
      <c r="A858" s="11"/>
      <c r="B858" s="12"/>
      <c r="C858" s="39"/>
      <c r="D858" s="41"/>
      <c r="E858" s="10" t="s">
        <v>22</v>
      </c>
      <c r="F858" s="10">
        <v>1346.58</v>
      </c>
      <c r="G858" s="10"/>
      <c r="H858" s="10"/>
      <c r="I858" s="10"/>
      <c r="J858" s="10"/>
      <c r="K858" s="10">
        <v>259.83</v>
      </c>
      <c r="L858" s="10"/>
      <c r="M858" s="10"/>
      <c r="N858" s="10"/>
      <c r="O858" s="10"/>
      <c r="P858" s="10"/>
      <c r="Q858" s="29">
        <f t="shared" si="300"/>
        <v>1606.4099999999999</v>
      </c>
    </row>
    <row r="859" spans="1:17" ht="12">
      <c r="A859" s="11"/>
      <c r="B859" s="12"/>
      <c r="C859" s="39"/>
      <c r="D859" s="41"/>
      <c r="E859" s="10" t="s">
        <v>23</v>
      </c>
      <c r="F859" s="10">
        <v>926.04</v>
      </c>
      <c r="G859" s="10"/>
      <c r="H859" s="10"/>
      <c r="I859" s="10"/>
      <c r="J859" s="10"/>
      <c r="K859" s="10">
        <v>1719.34</v>
      </c>
      <c r="L859" s="10"/>
      <c r="M859" s="10"/>
      <c r="N859" s="10"/>
      <c r="O859" s="10"/>
      <c r="P859" s="10"/>
      <c r="Q859" s="29">
        <f t="shared" si="300"/>
        <v>2645.38</v>
      </c>
    </row>
    <row r="860" spans="1:17" ht="12">
      <c r="A860" s="11"/>
      <c r="B860" s="12"/>
      <c r="C860" s="39"/>
      <c r="D860" s="41"/>
      <c r="E860" s="14" t="s">
        <v>24</v>
      </c>
      <c r="F860" s="14">
        <f aca="true" t="shared" si="301" ref="F860:P860">SUM(F857:F859)</f>
        <v>2985.7999999999997</v>
      </c>
      <c r="G860" s="14">
        <f t="shared" si="301"/>
        <v>0</v>
      </c>
      <c r="H860" s="14">
        <f t="shared" si="301"/>
        <v>0</v>
      </c>
      <c r="I860" s="14">
        <f t="shared" si="301"/>
        <v>0</v>
      </c>
      <c r="J860" s="14">
        <f t="shared" si="301"/>
        <v>0</v>
      </c>
      <c r="K860" s="14">
        <f t="shared" si="301"/>
        <v>1979.1699999999998</v>
      </c>
      <c r="L860" s="14">
        <f t="shared" si="301"/>
        <v>0</v>
      </c>
      <c r="M860" s="14">
        <f t="shared" si="301"/>
        <v>0</v>
      </c>
      <c r="N860" s="14">
        <f t="shared" si="301"/>
        <v>0</v>
      </c>
      <c r="O860" s="14">
        <f t="shared" si="301"/>
        <v>0</v>
      </c>
      <c r="P860" s="14">
        <f t="shared" si="301"/>
        <v>0</v>
      </c>
      <c r="Q860" s="55">
        <f t="shared" si="300"/>
        <v>4964.969999999999</v>
      </c>
    </row>
    <row r="861" spans="1:17" ht="12">
      <c r="A861" s="11"/>
      <c r="B861" s="12"/>
      <c r="C861" s="39"/>
      <c r="D861" s="41"/>
      <c r="E861" s="10" t="s">
        <v>25</v>
      </c>
      <c r="F861" s="10">
        <v>522.01</v>
      </c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29">
        <f t="shared" si="300"/>
        <v>522.01</v>
      </c>
    </row>
    <row r="862" spans="1:17" ht="12">
      <c r="A862" s="11"/>
      <c r="B862" s="12"/>
      <c r="C862" s="39"/>
      <c r="D862" s="41"/>
      <c r="E862" s="10" t="s">
        <v>26</v>
      </c>
      <c r="F862" s="10">
        <v>1293.4</v>
      </c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29">
        <f t="shared" si="300"/>
        <v>1293.4</v>
      </c>
    </row>
    <row r="863" spans="1:17" ht="12">
      <c r="A863" s="11"/>
      <c r="B863" s="12"/>
      <c r="C863" s="39"/>
      <c r="D863" s="41"/>
      <c r="E863" s="10" t="s">
        <v>27</v>
      </c>
      <c r="F863" s="10">
        <v>1363.42</v>
      </c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29">
        <f t="shared" si="300"/>
        <v>1363.42</v>
      </c>
    </row>
    <row r="864" spans="1:17" ht="12">
      <c r="A864" s="11"/>
      <c r="B864" s="12"/>
      <c r="C864" s="39"/>
      <c r="D864" s="41"/>
      <c r="E864" s="14" t="s">
        <v>28</v>
      </c>
      <c r="F864" s="14">
        <f aca="true" t="shared" si="302" ref="F864:P864">SUM(F861:F863)</f>
        <v>3178.83</v>
      </c>
      <c r="G864" s="14">
        <f t="shared" si="302"/>
        <v>0</v>
      </c>
      <c r="H864" s="14">
        <f t="shared" si="302"/>
        <v>0</v>
      </c>
      <c r="I864" s="14">
        <f t="shared" si="302"/>
        <v>0</v>
      </c>
      <c r="J864" s="14">
        <f t="shared" si="302"/>
        <v>0</v>
      </c>
      <c r="K864" s="14">
        <f t="shared" si="302"/>
        <v>0</v>
      </c>
      <c r="L864" s="14">
        <f t="shared" si="302"/>
        <v>0</v>
      </c>
      <c r="M864" s="14">
        <f t="shared" si="302"/>
        <v>0</v>
      </c>
      <c r="N864" s="14">
        <f t="shared" si="302"/>
        <v>0</v>
      </c>
      <c r="O864" s="14">
        <f t="shared" si="302"/>
        <v>0</v>
      </c>
      <c r="P864" s="14">
        <f t="shared" si="302"/>
        <v>0</v>
      </c>
      <c r="Q864" s="55">
        <f t="shared" si="300"/>
        <v>3178.83</v>
      </c>
    </row>
    <row r="865" spans="1:17" ht="12">
      <c r="A865" s="11"/>
      <c r="B865" s="12"/>
      <c r="C865" s="39"/>
      <c r="D865" s="41"/>
      <c r="E865" s="10" t="s">
        <v>29</v>
      </c>
      <c r="F865" s="10">
        <v>1176.99</v>
      </c>
      <c r="G865" s="10"/>
      <c r="H865" s="10"/>
      <c r="I865" s="10"/>
      <c r="J865" s="10"/>
      <c r="K865" s="10">
        <v>2341.86</v>
      </c>
      <c r="L865" s="10"/>
      <c r="M865" s="10"/>
      <c r="N865" s="10"/>
      <c r="O865" s="10"/>
      <c r="P865" s="10"/>
      <c r="Q865" s="29">
        <f t="shared" si="300"/>
        <v>3518.8500000000004</v>
      </c>
    </row>
    <row r="866" spans="1:17" ht="12.75">
      <c r="A866" s="11"/>
      <c r="B866" s="12"/>
      <c r="C866" s="39"/>
      <c r="D866" s="41"/>
      <c r="E866" s="10" t="s">
        <v>30</v>
      </c>
      <c r="F866" s="17">
        <v>2208.43</v>
      </c>
      <c r="G866" s="10"/>
      <c r="H866" s="10"/>
      <c r="I866" s="10"/>
      <c r="J866" s="10"/>
      <c r="K866" s="17">
        <v>2341.86</v>
      </c>
      <c r="L866" s="10"/>
      <c r="M866" s="10"/>
      <c r="N866" s="10"/>
      <c r="O866" s="10"/>
      <c r="P866" s="10"/>
      <c r="Q866" s="29">
        <f t="shared" si="300"/>
        <v>4550.29</v>
      </c>
    </row>
    <row r="867" spans="1:17" ht="12.75">
      <c r="A867" s="11"/>
      <c r="B867" s="12"/>
      <c r="C867" s="39"/>
      <c r="D867" s="41"/>
      <c r="E867" s="10" t="s">
        <v>31</v>
      </c>
      <c r="F867" s="17">
        <v>1019.56</v>
      </c>
      <c r="G867" s="10"/>
      <c r="H867" s="10"/>
      <c r="I867" s="10"/>
      <c r="J867" s="10"/>
      <c r="K867" s="17">
        <v>2341.86</v>
      </c>
      <c r="L867" s="10"/>
      <c r="M867" s="10"/>
      <c r="N867" s="10"/>
      <c r="O867" s="10"/>
      <c r="P867" s="10"/>
      <c r="Q867" s="29">
        <f t="shared" si="300"/>
        <v>3361.42</v>
      </c>
    </row>
    <row r="868" spans="1:17" ht="12">
      <c r="A868" s="11"/>
      <c r="B868" s="12"/>
      <c r="C868" s="39"/>
      <c r="D868" s="41"/>
      <c r="E868" s="14" t="s">
        <v>32</v>
      </c>
      <c r="F868" s="14">
        <f aca="true" t="shared" si="303" ref="F868:P868">SUM(F865:F867)</f>
        <v>4404.98</v>
      </c>
      <c r="G868" s="14">
        <f t="shared" si="303"/>
        <v>0</v>
      </c>
      <c r="H868" s="14">
        <f t="shared" si="303"/>
        <v>0</v>
      </c>
      <c r="I868" s="14">
        <f t="shared" si="303"/>
        <v>0</v>
      </c>
      <c r="J868" s="14">
        <f t="shared" si="303"/>
        <v>0</v>
      </c>
      <c r="K868" s="14">
        <f t="shared" si="303"/>
        <v>7025.58</v>
      </c>
      <c r="L868" s="14">
        <f t="shared" si="303"/>
        <v>0</v>
      </c>
      <c r="M868" s="14">
        <f t="shared" si="303"/>
        <v>0</v>
      </c>
      <c r="N868" s="14">
        <f t="shared" si="303"/>
        <v>0</v>
      </c>
      <c r="O868" s="14">
        <f t="shared" si="303"/>
        <v>0</v>
      </c>
      <c r="P868" s="14">
        <f t="shared" si="303"/>
        <v>0</v>
      </c>
      <c r="Q868" s="55">
        <f t="shared" si="300"/>
        <v>11430.56</v>
      </c>
    </row>
    <row r="869" spans="1:17" ht="12.75">
      <c r="A869" s="11"/>
      <c r="B869" s="12"/>
      <c r="C869" s="39"/>
      <c r="D869" s="41"/>
      <c r="E869" s="10" t="s">
        <v>33</v>
      </c>
      <c r="F869" s="17">
        <v>313.03</v>
      </c>
      <c r="G869" s="10"/>
      <c r="H869" s="10"/>
      <c r="I869" s="10"/>
      <c r="J869" s="10"/>
      <c r="K869" s="17">
        <v>2341.86</v>
      </c>
      <c r="L869" s="10"/>
      <c r="M869" s="10"/>
      <c r="N869" s="10"/>
      <c r="O869" s="10"/>
      <c r="P869" s="10"/>
      <c r="Q869" s="29">
        <f t="shared" si="300"/>
        <v>2654.8900000000003</v>
      </c>
    </row>
    <row r="870" spans="1:17" ht="12.75">
      <c r="A870" s="11"/>
      <c r="B870" s="12"/>
      <c r="C870" s="39"/>
      <c r="D870" s="41"/>
      <c r="E870" s="10" t="s">
        <v>34</v>
      </c>
      <c r="F870" s="17">
        <v>1541.18</v>
      </c>
      <c r="G870" s="10"/>
      <c r="H870" s="10"/>
      <c r="I870" s="10"/>
      <c r="J870" s="10"/>
      <c r="K870" s="17">
        <v>2341.86</v>
      </c>
      <c r="L870" s="10"/>
      <c r="M870" s="10"/>
      <c r="N870" s="10"/>
      <c r="O870" s="10"/>
      <c r="P870" s="10"/>
      <c r="Q870" s="29">
        <f t="shared" si="300"/>
        <v>3883.04</v>
      </c>
    </row>
    <row r="871" spans="1:17" ht="12.75">
      <c r="A871" s="11"/>
      <c r="B871" s="12"/>
      <c r="C871" s="39"/>
      <c r="D871" s="41"/>
      <c r="E871" s="10" t="s">
        <v>35</v>
      </c>
      <c r="F871" s="18">
        <v>2496.8</v>
      </c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29">
        <f t="shared" si="300"/>
        <v>2496.8</v>
      </c>
    </row>
    <row r="872" spans="1:17" ht="12">
      <c r="A872" s="11"/>
      <c r="B872" s="12"/>
      <c r="C872" s="39"/>
      <c r="D872" s="41"/>
      <c r="E872" s="14" t="s">
        <v>36</v>
      </c>
      <c r="F872" s="14">
        <f aca="true" t="shared" si="304" ref="F872:P872">SUM(F869:F871)</f>
        <v>4351.01</v>
      </c>
      <c r="G872" s="14">
        <f t="shared" si="304"/>
        <v>0</v>
      </c>
      <c r="H872" s="14">
        <f t="shared" si="304"/>
        <v>0</v>
      </c>
      <c r="I872" s="14">
        <f t="shared" si="304"/>
        <v>0</v>
      </c>
      <c r="J872" s="14">
        <f t="shared" si="304"/>
        <v>0</v>
      </c>
      <c r="K872" s="14">
        <f t="shared" si="304"/>
        <v>4683.72</v>
      </c>
      <c r="L872" s="14">
        <f t="shared" si="304"/>
        <v>0</v>
      </c>
      <c r="M872" s="14">
        <f t="shared" si="304"/>
        <v>0</v>
      </c>
      <c r="N872" s="14">
        <f t="shared" si="304"/>
        <v>0</v>
      </c>
      <c r="O872" s="14">
        <f t="shared" si="304"/>
        <v>0</v>
      </c>
      <c r="P872" s="14">
        <f t="shared" si="304"/>
        <v>0</v>
      </c>
      <c r="Q872" s="55">
        <f t="shared" si="300"/>
        <v>9034.73</v>
      </c>
    </row>
    <row r="873" spans="1:17" ht="12.75" thickBot="1">
      <c r="A873" s="11"/>
      <c r="B873" s="12"/>
      <c r="C873" s="39"/>
      <c r="D873" s="41"/>
      <c r="E873" s="22" t="s">
        <v>37</v>
      </c>
      <c r="F873" s="22">
        <f aca="true" t="shared" si="305" ref="F873:Q873">F860+F864+F868+F872</f>
        <v>14920.619999999999</v>
      </c>
      <c r="G873" s="22">
        <f t="shared" si="305"/>
        <v>0</v>
      </c>
      <c r="H873" s="22">
        <f t="shared" si="305"/>
        <v>0</v>
      </c>
      <c r="I873" s="22">
        <f t="shared" si="305"/>
        <v>0</v>
      </c>
      <c r="J873" s="22">
        <f t="shared" si="305"/>
        <v>0</v>
      </c>
      <c r="K873" s="22">
        <f t="shared" si="305"/>
        <v>13688.470000000001</v>
      </c>
      <c r="L873" s="22">
        <f t="shared" si="305"/>
        <v>0</v>
      </c>
      <c r="M873" s="22">
        <f t="shared" si="305"/>
        <v>0</v>
      </c>
      <c r="N873" s="22">
        <f t="shared" si="305"/>
        <v>0</v>
      </c>
      <c r="O873" s="22">
        <f t="shared" si="305"/>
        <v>0</v>
      </c>
      <c r="P873" s="35">
        <f t="shared" si="305"/>
        <v>0</v>
      </c>
      <c r="Q873" s="23">
        <f t="shared" si="305"/>
        <v>28609.09</v>
      </c>
    </row>
    <row r="874" spans="1:17" ht="12">
      <c r="A874" s="11">
        <v>52</v>
      </c>
      <c r="B874" s="12">
        <v>26</v>
      </c>
      <c r="C874" s="39" t="s">
        <v>138</v>
      </c>
      <c r="D874" s="41" t="s">
        <v>139</v>
      </c>
      <c r="E874" s="10" t="s">
        <v>21</v>
      </c>
      <c r="F874" s="10">
        <v>257329.89</v>
      </c>
      <c r="G874" s="10"/>
      <c r="H874" s="10">
        <v>21120</v>
      </c>
      <c r="I874" s="10"/>
      <c r="J874" s="10"/>
      <c r="K874" s="10">
        <v>206241.79</v>
      </c>
      <c r="L874" s="10">
        <v>203661.99</v>
      </c>
      <c r="M874" s="10"/>
      <c r="N874" s="10"/>
      <c r="O874" s="10"/>
      <c r="P874" s="10">
        <v>44872.52</v>
      </c>
      <c r="Q874" s="29">
        <f aca="true" t="shared" si="306" ref="Q874:Q889">SUM(F874:P874)</f>
        <v>733226.1900000001</v>
      </c>
    </row>
    <row r="875" spans="1:17" ht="12">
      <c r="A875" s="11"/>
      <c r="B875" s="12"/>
      <c r="C875" s="39"/>
      <c r="D875" s="41"/>
      <c r="E875" s="10" t="s">
        <v>22</v>
      </c>
      <c r="F875" s="10">
        <v>299812.54</v>
      </c>
      <c r="G875" s="10"/>
      <c r="H875" s="10">
        <v>24120</v>
      </c>
      <c r="I875" s="10"/>
      <c r="J875" s="10">
        <v>2940</v>
      </c>
      <c r="K875" s="10">
        <v>168560.82</v>
      </c>
      <c r="L875" s="10"/>
      <c r="M875" s="10"/>
      <c r="N875" s="10"/>
      <c r="O875" s="10">
        <v>10372.72</v>
      </c>
      <c r="P875" s="10">
        <v>59725.78</v>
      </c>
      <c r="Q875" s="29">
        <f t="shared" si="306"/>
        <v>565531.86</v>
      </c>
    </row>
    <row r="876" spans="1:17" ht="12">
      <c r="A876" s="11"/>
      <c r="B876" s="12"/>
      <c r="C876" s="39"/>
      <c r="D876" s="41"/>
      <c r="E876" s="10" t="s">
        <v>23</v>
      </c>
      <c r="F876" s="15">
        <f>341260.06-341260.06</f>
        <v>0</v>
      </c>
      <c r="G876" s="10"/>
      <c r="H876" s="10">
        <v>27720</v>
      </c>
      <c r="I876" s="10"/>
      <c r="J876" s="10">
        <v>840</v>
      </c>
      <c r="K876" s="15">
        <f>208289.24-208289.24</f>
        <v>0</v>
      </c>
      <c r="L876" s="10"/>
      <c r="M876" s="10"/>
      <c r="N876" s="10"/>
      <c r="O876" s="10"/>
      <c r="P876" s="10">
        <v>66996.04</v>
      </c>
      <c r="Q876" s="29">
        <f t="shared" si="306"/>
        <v>95556.04</v>
      </c>
    </row>
    <row r="877" spans="1:17" ht="12">
      <c r="A877" s="11"/>
      <c r="B877" s="12"/>
      <c r="C877" s="39"/>
      <c r="D877" s="41"/>
      <c r="E877" s="14" t="s">
        <v>24</v>
      </c>
      <c r="F877" s="14">
        <f aca="true" t="shared" si="307" ref="F877:P877">SUM(F874:F876)</f>
        <v>557142.4299999999</v>
      </c>
      <c r="G877" s="14">
        <f t="shared" si="307"/>
        <v>0</v>
      </c>
      <c r="H877" s="14">
        <f t="shared" si="307"/>
        <v>72960</v>
      </c>
      <c r="I877" s="14">
        <f t="shared" si="307"/>
        <v>0</v>
      </c>
      <c r="J877" s="14">
        <f t="shared" si="307"/>
        <v>3780</v>
      </c>
      <c r="K877" s="14">
        <f t="shared" si="307"/>
        <v>374802.61</v>
      </c>
      <c r="L877" s="14">
        <f t="shared" si="307"/>
        <v>203661.99</v>
      </c>
      <c r="M877" s="14">
        <f t="shared" si="307"/>
        <v>0</v>
      </c>
      <c r="N877" s="14">
        <f t="shared" si="307"/>
        <v>0</v>
      </c>
      <c r="O877" s="14">
        <f t="shared" si="307"/>
        <v>10372.72</v>
      </c>
      <c r="P877" s="14">
        <f t="shared" si="307"/>
        <v>171594.33999999997</v>
      </c>
      <c r="Q877" s="55">
        <f t="shared" si="306"/>
        <v>1394314.0899999999</v>
      </c>
    </row>
    <row r="878" spans="1:17" ht="12">
      <c r="A878" s="11"/>
      <c r="B878" s="12"/>
      <c r="C878" s="39"/>
      <c r="D878" s="41"/>
      <c r="E878" s="10" t="s">
        <v>25</v>
      </c>
      <c r="F878" s="10">
        <f>341260.06+336965.54</f>
        <v>678225.6</v>
      </c>
      <c r="G878" s="10"/>
      <c r="H878" s="10">
        <v>25728</v>
      </c>
      <c r="I878" s="10"/>
      <c r="J878" s="10">
        <v>1260</v>
      </c>
      <c r="K878" s="10">
        <f>208289.24+127830.02</f>
        <v>336119.26</v>
      </c>
      <c r="L878" s="10"/>
      <c r="M878" s="10"/>
      <c r="N878" s="10"/>
      <c r="O878" s="10">
        <v>115.68</v>
      </c>
      <c r="P878" s="10">
        <v>66996.04</v>
      </c>
      <c r="Q878" s="29">
        <f t="shared" si="306"/>
        <v>1108444.58</v>
      </c>
    </row>
    <row r="879" spans="1:17" ht="12">
      <c r="A879" s="11"/>
      <c r="B879" s="12"/>
      <c r="C879" s="39"/>
      <c r="D879" s="41"/>
      <c r="E879" s="10" t="s">
        <v>26</v>
      </c>
      <c r="F879" s="10">
        <v>389333.73</v>
      </c>
      <c r="G879" s="10"/>
      <c r="H879" s="10">
        <v>34080</v>
      </c>
      <c r="I879" s="10"/>
      <c r="J879" s="10">
        <v>2340</v>
      </c>
      <c r="K879" s="10">
        <v>169855.27</v>
      </c>
      <c r="L879" s="10"/>
      <c r="M879" s="10"/>
      <c r="N879" s="10">
        <v>420.54</v>
      </c>
      <c r="O879" s="10">
        <v>1342.83</v>
      </c>
      <c r="P879" s="10">
        <v>59413.04</v>
      </c>
      <c r="Q879" s="29">
        <f t="shared" si="306"/>
        <v>656785.41</v>
      </c>
    </row>
    <row r="880" spans="1:17" ht="12">
      <c r="A880" s="11"/>
      <c r="B880" s="12"/>
      <c r="C880" s="39"/>
      <c r="D880" s="41"/>
      <c r="E880" s="10" t="s">
        <v>27</v>
      </c>
      <c r="F880" s="10">
        <v>399026.93</v>
      </c>
      <c r="G880" s="10"/>
      <c r="H880" s="10">
        <v>34548</v>
      </c>
      <c r="I880" s="10"/>
      <c r="J880" s="10">
        <v>1380</v>
      </c>
      <c r="K880" s="10">
        <v>205304.76</v>
      </c>
      <c r="L880" s="10"/>
      <c r="M880" s="10"/>
      <c r="N880" s="10"/>
      <c r="O880" s="10">
        <v>2422.53</v>
      </c>
      <c r="P880" s="10">
        <v>59413.04</v>
      </c>
      <c r="Q880" s="29">
        <f t="shared" si="306"/>
        <v>702095.26</v>
      </c>
    </row>
    <row r="881" spans="1:17" ht="12">
      <c r="A881" s="11"/>
      <c r="B881" s="12"/>
      <c r="C881" s="39"/>
      <c r="D881" s="41"/>
      <c r="E881" s="14" t="s">
        <v>28</v>
      </c>
      <c r="F881" s="14">
        <f aca="true" t="shared" si="308" ref="F881:P881">SUM(F878:F880)</f>
        <v>1466586.26</v>
      </c>
      <c r="G881" s="14">
        <f t="shared" si="308"/>
        <v>0</v>
      </c>
      <c r="H881" s="14">
        <f t="shared" si="308"/>
        <v>94356</v>
      </c>
      <c r="I881" s="14">
        <f t="shared" si="308"/>
        <v>0</v>
      </c>
      <c r="J881" s="14">
        <f t="shared" si="308"/>
        <v>4980</v>
      </c>
      <c r="K881" s="14">
        <f t="shared" si="308"/>
        <v>711279.29</v>
      </c>
      <c r="L881" s="14">
        <f t="shared" si="308"/>
        <v>0</v>
      </c>
      <c r="M881" s="14">
        <f t="shared" si="308"/>
        <v>0</v>
      </c>
      <c r="N881" s="14">
        <f t="shared" si="308"/>
        <v>420.54</v>
      </c>
      <c r="O881" s="14">
        <f t="shared" si="308"/>
        <v>3881.04</v>
      </c>
      <c r="P881" s="14">
        <f t="shared" si="308"/>
        <v>185822.12</v>
      </c>
      <c r="Q881" s="55">
        <f t="shared" si="306"/>
        <v>2467325.25</v>
      </c>
    </row>
    <row r="882" spans="1:17" ht="12">
      <c r="A882" s="11"/>
      <c r="B882" s="12"/>
      <c r="C882" s="39"/>
      <c r="D882" s="41"/>
      <c r="E882" s="10" t="s">
        <v>29</v>
      </c>
      <c r="F882" s="10">
        <v>329159.83</v>
      </c>
      <c r="G882" s="10"/>
      <c r="H882" s="10">
        <v>27480</v>
      </c>
      <c r="I882" s="10"/>
      <c r="J882" s="10">
        <v>960</v>
      </c>
      <c r="K882" s="10">
        <v>179056.1</v>
      </c>
      <c r="L882" s="10"/>
      <c r="M882" s="10"/>
      <c r="N882" s="10"/>
      <c r="O882" s="10">
        <v>1956.4</v>
      </c>
      <c r="P882" s="10">
        <v>91846.64</v>
      </c>
      <c r="Q882" s="29">
        <f t="shared" si="306"/>
        <v>630458.9700000001</v>
      </c>
    </row>
    <row r="883" spans="1:17" ht="12.75">
      <c r="A883" s="11"/>
      <c r="B883" s="12"/>
      <c r="C883" s="39"/>
      <c r="D883" s="41"/>
      <c r="E883" s="10" t="s">
        <v>30</v>
      </c>
      <c r="F883" s="10">
        <v>385475.94</v>
      </c>
      <c r="G883" s="10"/>
      <c r="H883" s="10">
        <v>37440</v>
      </c>
      <c r="I883" s="10"/>
      <c r="J883" s="10">
        <v>2400</v>
      </c>
      <c r="K883" s="10">
        <v>227321.46</v>
      </c>
      <c r="L883" s="10"/>
      <c r="M883" s="10"/>
      <c r="N883" s="17">
        <v>841.08</v>
      </c>
      <c r="O883" s="10">
        <v>2546.91</v>
      </c>
      <c r="P883" s="10">
        <v>101502</v>
      </c>
      <c r="Q883" s="29">
        <f t="shared" si="306"/>
        <v>757527.39</v>
      </c>
    </row>
    <row r="884" spans="1:17" ht="12.75">
      <c r="A884" s="11"/>
      <c r="B884" s="12"/>
      <c r="C884" s="39"/>
      <c r="D884" s="41"/>
      <c r="E884" s="10" t="s">
        <v>31</v>
      </c>
      <c r="F884" s="10">
        <v>431085.1</v>
      </c>
      <c r="G884" s="10"/>
      <c r="H884" s="10">
        <v>37310.4</v>
      </c>
      <c r="I884" s="10"/>
      <c r="J884" s="10">
        <v>1860</v>
      </c>
      <c r="K884" s="10">
        <v>158952.92</v>
      </c>
      <c r="L884" s="10"/>
      <c r="M884" s="10"/>
      <c r="N884" s="17">
        <v>420.53</v>
      </c>
      <c r="O884" s="10">
        <v>2009.93</v>
      </c>
      <c r="P884" s="10">
        <v>163513.99</v>
      </c>
      <c r="Q884" s="29">
        <f t="shared" si="306"/>
        <v>795152.8700000001</v>
      </c>
    </row>
    <row r="885" spans="1:17" ht="12">
      <c r="A885" s="11"/>
      <c r="B885" s="12"/>
      <c r="C885" s="39"/>
      <c r="D885" s="41"/>
      <c r="E885" s="14" t="s">
        <v>32</v>
      </c>
      <c r="F885" s="14">
        <f aca="true" t="shared" si="309" ref="F885:P885">SUM(F882:F884)</f>
        <v>1145720.87</v>
      </c>
      <c r="G885" s="14">
        <f t="shared" si="309"/>
        <v>0</v>
      </c>
      <c r="H885" s="14">
        <f t="shared" si="309"/>
        <v>102230.4</v>
      </c>
      <c r="I885" s="14">
        <f t="shared" si="309"/>
        <v>0</v>
      </c>
      <c r="J885" s="14">
        <f t="shared" si="309"/>
        <v>5220</v>
      </c>
      <c r="K885" s="14">
        <f t="shared" si="309"/>
        <v>565330.48</v>
      </c>
      <c r="L885" s="14">
        <f t="shared" si="309"/>
        <v>0</v>
      </c>
      <c r="M885" s="14">
        <f t="shared" si="309"/>
        <v>0</v>
      </c>
      <c r="N885" s="14">
        <f t="shared" si="309"/>
        <v>1261.6100000000001</v>
      </c>
      <c r="O885" s="14">
        <f t="shared" si="309"/>
        <v>6513.24</v>
      </c>
      <c r="P885" s="14">
        <f t="shared" si="309"/>
        <v>356862.63</v>
      </c>
      <c r="Q885" s="55">
        <f t="shared" si="306"/>
        <v>2183139.23</v>
      </c>
    </row>
    <row r="886" spans="1:17" ht="12">
      <c r="A886" s="11"/>
      <c r="B886" s="12"/>
      <c r="C886" s="39"/>
      <c r="D886" s="41"/>
      <c r="E886" s="10" t="s">
        <v>33</v>
      </c>
      <c r="F886" s="10">
        <v>382212.31</v>
      </c>
      <c r="G886" s="10"/>
      <c r="H886" s="10">
        <v>31200</v>
      </c>
      <c r="I886" s="10"/>
      <c r="J886" s="10">
        <v>1920</v>
      </c>
      <c r="K886" s="10">
        <v>192589.96</v>
      </c>
      <c r="L886" s="10"/>
      <c r="M886" s="10"/>
      <c r="N886" s="10"/>
      <c r="O886" s="10">
        <v>1781.3</v>
      </c>
      <c r="P886" s="10">
        <v>130953.61</v>
      </c>
      <c r="Q886" s="29">
        <f t="shared" si="306"/>
        <v>740657.18</v>
      </c>
    </row>
    <row r="887" spans="1:17" ht="12.75">
      <c r="A887" s="11"/>
      <c r="B887" s="12"/>
      <c r="C887" s="39"/>
      <c r="D887" s="41"/>
      <c r="E887" s="10" t="s">
        <v>34</v>
      </c>
      <c r="F887" s="10">
        <v>447157.29</v>
      </c>
      <c r="G887" s="10"/>
      <c r="H887" s="10">
        <v>39600</v>
      </c>
      <c r="I887" s="10"/>
      <c r="J887" s="10">
        <v>1920</v>
      </c>
      <c r="K887" s="15">
        <f>194175.35-194175.35</f>
        <v>0</v>
      </c>
      <c r="L887" s="10"/>
      <c r="M887" s="10"/>
      <c r="N887" s="10"/>
      <c r="O887" s="17">
        <v>1435.64</v>
      </c>
      <c r="P887" s="10">
        <v>169562.91</v>
      </c>
      <c r="Q887" s="29">
        <f t="shared" si="306"/>
        <v>659675.84</v>
      </c>
    </row>
    <row r="888" spans="1:17" ht="12.75">
      <c r="A888" s="11"/>
      <c r="B888" s="12"/>
      <c r="C888" s="39"/>
      <c r="D888" s="41"/>
      <c r="E888" s="10" t="s">
        <v>35</v>
      </c>
      <c r="F888" s="10">
        <v>391878.53</v>
      </c>
      <c r="G888" s="10"/>
      <c r="H888" s="10">
        <v>36216</v>
      </c>
      <c r="I888" s="10"/>
      <c r="J888" s="10">
        <v>1440</v>
      </c>
      <c r="K888" s="10"/>
      <c r="L888" s="10"/>
      <c r="M888" s="10"/>
      <c r="N888" s="10"/>
      <c r="O888" s="18">
        <v>1264.87</v>
      </c>
      <c r="P888" s="10">
        <v>197842.5</v>
      </c>
      <c r="Q888" s="29">
        <f t="shared" si="306"/>
        <v>628641.9</v>
      </c>
    </row>
    <row r="889" spans="1:17" ht="12">
      <c r="A889" s="11"/>
      <c r="B889" s="12"/>
      <c r="C889" s="39"/>
      <c r="D889" s="41"/>
      <c r="E889" s="10" t="s">
        <v>36</v>
      </c>
      <c r="F889" s="14">
        <f aca="true" t="shared" si="310" ref="F889:P889">SUM(F886:F888)</f>
        <v>1221248.13</v>
      </c>
      <c r="G889" s="14">
        <f t="shared" si="310"/>
        <v>0</v>
      </c>
      <c r="H889" s="14">
        <f t="shared" si="310"/>
        <v>107016</v>
      </c>
      <c r="I889" s="14">
        <f t="shared" si="310"/>
        <v>0</v>
      </c>
      <c r="J889" s="14">
        <f t="shared" si="310"/>
        <v>5280</v>
      </c>
      <c r="K889" s="14">
        <f t="shared" si="310"/>
        <v>192589.96</v>
      </c>
      <c r="L889" s="14">
        <f t="shared" si="310"/>
        <v>0</v>
      </c>
      <c r="M889" s="14">
        <f t="shared" si="310"/>
        <v>0</v>
      </c>
      <c r="N889" s="14">
        <f t="shared" si="310"/>
        <v>0</v>
      </c>
      <c r="O889" s="14">
        <f t="shared" si="310"/>
        <v>4481.8099999999995</v>
      </c>
      <c r="P889" s="14">
        <f t="shared" si="310"/>
        <v>498359.02</v>
      </c>
      <c r="Q889" s="55">
        <f t="shared" si="306"/>
        <v>2028974.92</v>
      </c>
    </row>
    <row r="890" spans="1:17" ht="12.75" thickBot="1">
      <c r="A890" s="11"/>
      <c r="B890" s="12"/>
      <c r="C890" s="39"/>
      <c r="D890" s="41"/>
      <c r="E890" s="42" t="s">
        <v>37</v>
      </c>
      <c r="F890" s="22">
        <f aca="true" t="shared" si="311" ref="F890:Q890">F877+F881+F885+F889</f>
        <v>4390697.6899999995</v>
      </c>
      <c r="G890" s="22">
        <f t="shared" si="311"/>
        <v>0</v>
      </c>
      <c r="H890" s="22">
        <f t="shared" si="311"/>
        <v>376562.4</v>
      </c>
      <c r="I890" s="22">
        <f t="shared" si="311"/>
        <v>0</v>
      </c>
      <c r="J890" s="22">
        <f t="shared" si="311"/>
        <v>19260</v>
      </c>
      <c r="K890" s="22">
        <f t="shared" si="311"/>
        <v>1844002.3399999999</v>
      </c>
      <c r="L890" s="22">
        <f t="shared" si="311"/>
        <v>203661.99</v>
      </c>
      <c r="M890" s="22">
        <f t="shared" si="311"/>
        <v>0</v>
      </c>
      <c r="N890" s="22">
        <f t="shared" si="311"/>
        <v>1682.15</v>
      </c>
      <c r="O890" s="22">
        <f t="shared" si="311"/>
        <v>25248.809999999998</v>
      </c>
      <c r="P890" s="35">
        <f t="shared" si="311"/>
        <v>1212638.1099999999</v>
      </c>
      <c r="Q890" s="23">
        <f t="shared" si="311"/>
        <v>8073753.49</v>
      </c>
    </row>
    <row r="891" spans="1:17" ht="12">
      <c r="A891" s="11">
        <v>53</v>
      </c>
      <c r="B891" s="12">
        <v>25</v>
      </c>
      <c r="C891" s="39" t="s">
        <v>140</v>
      </c>
      <c r="D891" s="41" t="s">
        <v>141</v>
      </c>
      <c r="E891" s="10" t="s">
        <v>21</v>
      </c>
      <c r="F891" s="10">
        <v>339.95</v>
      </c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29">
        <f aca="true" t="shared" si="312" ref="Q891:Q906">SUM(F891:P891)</f>
        <v>339.95</v>
      </c>
    </row>
    <row r="892" spans="1:17" ht="12">
      <c r="A892" s="11"/>
      <c r="B892" s="12"/>
      <c r="C892" s="39"/>
      <c r="D892" s="41"/>
      <c r="E892" s="10" t="s">
        <v>22</v>
      </c>
      <c r="F892" s="10">
        <v>718.06</v>
      </c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29">
        <f t="shared" si="312"/>
        <v>718.06</v>
      </c>
    </row>
    <row r="893" spans="1:17" ht="12">
      <c r="A893" s="11"/>
      <c r="B893" s="12"/>
      <c r="C893" s="39"/>
      <c r="D893" s="41"/>
      <c r="E893" s="10" t="s">
        <v>23</v>
      </c>
      <c r="F893" s="10">
        <v>364.7</v>
      </c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29">
        <f t="shared" si="312"/>
        <v>364.7</v>
      </c>
    </row>
    <row r="894" spans="1:17" ht="12">
      <c r="A894" s="11"/>
      <c r="B894" s="12"/>
      <c r="C894" s="39"/>
      <c r="D894" s="41"/>
      <c r="E894" s="14" t="s">
        <v>24</v>
      </c>
      <c r="F894" s="14">
        <f aca="true" t="shared" si="313" ref="F894:P894">SUM(F891:F893)</f>
        <v>1422.71</v>
      </c>
      <c r="G894" s="14">
        <f t="shared" si="313"/>
        <v>0</v>
      </c>
      <c r="H894" s="14">
        <f t="shared" si="313"/>
        <v>0</v>
      </c>
      <c r="I894" s="14">
        <f t="shared" si="313"/>
        <v>0</v>
      </c>
      <c r="J894" s="14">
        <f t="shared" si="313"/>
        <v>0</v>
      </c>
      <c r="K894" s="14">
        <f t="shared" si="313"/>
        <v>0</v>
      </c>
      <c r="L894" s="14">
        <f t="shared" si="313"/>
        <v>0</v>
      </c>
      <c r="M894" s="14">
        <f t="shared" si="313"/>
        <v>0</v>
      </c>
      <c r="N894" s="14">
        <f t="shared" si="313"/>
        <v>0</v>
      </c>
      <c r="O894" s="14">
        <f t="shared" si="313"/>
        <v>0</v>
      </c>
      <c r="P894" s="14">
        <f t="shared" si="313"/>
        <v>0</v>
      </c>
      <c r="Q894" s="55">
        <f t="shared" si="312"/>
        <v>1422.71</v>
      </c>
    </row>
    <row r="895" spans="1:17" ht="12">
      <c r="A895" s="11"/>
      <c r="B895" s="12"/>
      <c r="C895" s="39"/>
      <c r="D895" s="41"/>
      <c r="E895" s="10" t="s">
        <v>25</v>
      </c>
      <c r="F895" s="10">
        <v>1769.52</v>
      </c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29">
        <f t="shared" si="312"/>
        <v>1769.52</v>
      </c>
    </row>
    <row r="896" spans="1:17" ht="12">
      <c r="A896" s="11"/>
      <c r="B896" s="12"/>
      <c r="C896" s="39"/>
      <c r="D896" s="41"/>
      <c r="E896" s="10" t="s">
        <v>26</v>
      </c>
      <c r="F896" s="10">
        <v>610.71</v>
      </c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29">
        <f t="shared" si="312"/>
        <v>610.71</v>
      </c>
    </row>
    <row r="897" spans="1:17" ht="12">
      <c r="A897" s="11"/>
      <c r="B897" s="12"/>
      <c r="C897" s="39"/>
      <c r="D897" s="41"/>
      <c r="E897" s="10" t="s">
        <v>27</v>
      </c>
      <c r="F897" s="10">
        <v>178.32</v>
      </c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29">
        <f t="shared" si="312"/>
        <v>178.32</v>
      </c>
    </row>
    <row r="898" spans="1:17" ht="12">
      <c r="A898" s="11"/>
      <c r="B898" s="12"/>
      <c r="C898" s="39"/>
      <c r="D898" s="41"/>
      <c r="E898" s="14" t="s">
        <v>28</v>
      </c>
      <c r="F898" s="14">
        <f aca="true" t="shared" si="314" ref="F898:P898">SUM(F895:F897)</f>
        <v>2558.55</v>
      </c>
      <c r="G898" s="14">
        <f t="shared" si="314"/>
        <v>0</v>
      </c>
      <c r="H898" s="14">
        <f t="shared" si="314"/>
        <v>0</v>
      </c>
      <c r="I898" s="14">
        <f t="shared" si="314"/>
        <v>0</v>
      </c>
      <c r="J898" s="14">
        <f t="shared" si="314"/>
        <v>0</v>
      </c>
      <c r="K898" s="14">
        <f t="shared" si="314"/>
        <v>0</v>
      </c>
      <c r="L898" s="14">
        <f t="shared" si="314"/>
        <v>0</v>
      </c>
      <c r="M898" s="14">
        <f t="shared" si="314"/>
        <v>0</v>
      </c>
      <c r="N898" s="14">
        <f t="shared" si="314"/>
        <v>0</v>
      </c>
      <c r="O898" s="14">
        <f t="shared" si="314"/>
        <v>0</v>
      </c>
      <c r="P898" s="14">
        <f t="shared" si="314"/>
        <v>0</v>
      </c>
      <c r="Q898" s="55">
        <f t="shared" si="312"/>
        <v>2558.55</v>
      </c>
    </row>
    <row r="899" spans="1:17" ht="12">
      <c r="A899" s="11"/>
      <c r="B899" s="12"/>
      <c r="C899" s="39"/>
      <c r="D899" s="41"/>
      <c r="E899" s="10" t="s">
        <v>29</v>
      </c>
      <c r="F899" s="10">
        <f>603.99-24.95</f>
        <v>579.04</v>
      </c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29">
        <f t="shared" si="312"/>
        <v>579.04</v>
      </c>
    </row>
    <row r="900" spans="1:17" ht="12">
      <c r="A900" s="11"/>
      <c r="B900" s="12"/>
      <c r="C900" s="39"/>
      <c r="D900" s="41"/>
      <c r="E900" s="10" t="s">
        <v>30</v>
      </c>
      <c r="F900" s="10">
        <v>592.97</v>
      </c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29">
        <f t="shared" si="312"/>
        <v>592.97</v>
      </c>
    </row>
    <row r="901" spans="1:17" ht="12.75">
      <c r="A901" s="11"/>
      <c r="B901" s="12"/>
      <c r="C901" s="39"/>
      <c r="D901" s="41"/>
      <c r="E901" s="10" t="s">
        <v>31</v>
      </c>
      <c r="F901" s="10">
        <v>861.07</v>
      </c>
      <c r="G901" s="10"/>
      <c r="H901" s="17">
        <v>120</v>
      </c>
      <c r="I901" s="10"/>
      <c r="J901" s="10"/>
      <c r="K901" s="10"/>
      <c r="L901" s="10"/>
      <c r="M901" s="10"/>
      <c r="N901" s="10"/>
      <c r="O901" s="10"/>
      <c r="P901" s="10"/>
      <c r="Q901" s="29">
        <f t="shared" si="312"/>
        <v>981.07</v>
      </c>
    </row>
    <row r="902" spans="1:17" ht="12">
      <c r="A902" s="11"/>
      <c r="B902" s="12"/>
      <c r="C902" s="39"/>
      <c r="D902" s="41"/>
      <c r="E902" s="14" t="s">
        <v>32</v>
      </c>
      <c r="F902" s="14">
        <f aca="true" t="shared" si="315" ref="F902:P902">SUM(F899:F901)</f>
        <v>2033.08</v>
      </c>
      <c r="G902" s="14">
        <f t="shared" si="315"/>
        <v>0</v>
      </c>
      <c r="H902" s="14">
        <f t="shared" si="315"/>
        <v>120</v>
      </c>
      <c r="I902" s="14">
        <f t="shared" si="315"/>
        <v>0</v>
      </c>
      <c r="J902" s="14">
        <f t="shared" si="315"/>
        <v>0</v>
      </c>
      <c r="K902" s="14">
        <f t="shared" si="315"/>
        <v>0</v>
      </c>
      <c r="L902" s="14">
        <f t="shared" si="315"/>
        <v>0</v>
      </c>
      <c r="M902" s="14">
        <f t="shared" si="315"/>
        <v>0</v>
      </c>
      <c r="N902" s="14">
        <f t="shared" si="315"/>
        <v>0</v>
      </c>
      <c r="O902" s="14">
        <f t="shared" si="315"/>
        <v>0</v>
      </c>
      <c r="P902" s="14">
        <f t="shared" si="315"/>
        <v>0</v>
      </c>
      <c r="Q902" s="55">
        <f t="shared" si="312"/>
        <v>2153.08</v>
      </c>
    </row>
    <row r="903" spans="1:17" ht="12.75">
      <c r="A903" s="11"/>
      <c r="B903" s="12"/>
      <c r="C903" s="39"/>
      <c r="D903" s="41"/>
      <c r="E903" s="10" t="s">
        <v>33</v>
      </c>
      <c r="F903" s="10">
        <v>745.82</v>
      </c>
      <c r="G903" s="10"/>
      <c r="H903" s="10"/>
      <c r="I903" s="10"/>
      <c r="J903" s="10"/>
      <c r="K903" s="17">
        <v>13957.13</v>
      </c>
      <c r="L903" s="10"/>
      <c r="M903" s="10"/>
      <c r="N903" s="10"/>
      <c r="O903" s="10"/>
      <c r="P903" s="17">
        <v>11234.47</v>
      </c>
      <c r="Q903" s="29">
        <f t="shared" si="312"/>
        <v>25937.42</v>
      </c>
    </row>
    <row r="904" spans="1:17" ht="12.75">
      <c r="A904" s="11"/>
      <c r="B904" s="12"/>
      <c r="C904" s="39"/>
      <c r="D904" s="41"/>
      <c r="E904" s="10" t="s">
        <v>34</v>
      </c>
      <c r="F904" s="17">
        <v>199.99</v>
      </c>
      <c r="G904" s="10"/>
      <c r="H904" s="10"/>
      <c r="I904" s="10"/>
      <c r="J904" s="10"/>
      <c r="K904" s="17">
        <v>13957.13</v>
      </c>
      <c r="L904" s="10"/>
      <c r="M904" s="10"/>
      <c r="N904" s="10"/>
      <c r="O904" s="10"/>
      <c r="P904" s="17">
        <v>11234.47</v>
      </c>
      <c r="Q904" s="29">
        <f t="shared" si="312"/>
        <v>25391.589999999997</v>
      </c>
    </row>
    <row r="905" spans="1:17" ht="12.75">
      <c r="A905" s="11"/>
      <c r="B905" s="12"/>
      <c r="C905" s="39"/>
      <c r="D905" s="41"/>
      <c r="E905" s="10" t="s">
        <v>35</v>
      </c>
      <c r="F905" s="18">
        <v>544.42</v>
      </c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29">
        <f t="shared" si="312"/>
        <v>544.42</v>
      </c>
    </row>
    <row r="906" spans="1:17" ht="12">
      <c r="A906" s="11"/>
      <c r="B906" s="12"/>
      <c r="C906" s="39"/>
      <c r="D906" s="41"/>
      <c r="E906" s="14" t="s">
        <v>36</v>
      </c>
      <c r="F906" s="14">
        <f aca="true" t="shared" si="316" ref="F906:P906">SUM(F903:F905)</f>
        <v>1490.23</v>
      </c>
      <c r="G906" s="14">
        <f t="shared" si="316"/>
        <v>0</v>
      </c>
      <c r="H906" s="14">
        <f t="shared" si="316"/>
        <v>0</v>
      </c>
      <c r="I906" s="14">
        <f t="shared" si="316"/>
        <v>0</v>
      </c>
      <c r="J906" s="14">
        <f t="shared" si="316"/>
        <v>0</v>
      </c>
      <c r="K906" s="14">
        <f t="shared" si="316"/>
        <v>27914.26</v>
      </c>
      <c r="L906" s="14">
        <f t="shared" si="316"/>
        <v>0</v>
      </c>
      <c r="M906" s="14">
        <f t="shared" si="316"/>
        <v>0</v>
      </c>
      <c r="N906" s="14">
        <f t="shared" si="316"/>
        <v>0</v>
      </c>
      <c r="O906" s="14">
        <f t="shared" si="316"/>
        <v>0</v>
      </c>
      <c r="P906" s="14">
        <f t="shared" si="316"/>
        <v>22468.94</v>
      </c>
      <c r="Q906" s="55">
        <f t="shared" si="312"/>
        <v>51873.42999999999</v>
      </c>
    </row>
    <row r="907" spans="1:17" ht="12.75" thickBot="1">
      <c r="A907" s="11"/>
      <c r="B907" s="12"/>
      <c r="C907" s="39"/>
      <c r="D907" s="41"/>
      <c r="E907" s="22" t="s">
        <v>37</v>
      </c>
      <c r="F907" s="22">
        <f aca="true" t="shared" si="317" ref="F907:Q907">F894+F898+F902+F906</f>
        <v>7504.57</v>
      </c>
      <c r="G907" s="22">
        <f t="shared" si="317"/>
        <v>0</v>
      </c>
      <c r="H907" s="22">
        <f t="shared" si="317"/>
        <v>120</v>
      </c>
      <c r="I907" s="22">
        <f t="shared" si="317"/>
        <v>0</v>
      </c>
      <c r="J907" s="22">
        <f t="shared" si="317"/>
        <v>0</v>
      </c>
      <c r="K907" s="22">
        <f t="shared" si="317"/>
        <v>27914.26</v>
      </c>
      <c r="L907" s="22">
        <f t="shared" si="317"/>
        <v>0</v>
      </c>
      <c r="M907" s="22">
        <f t="shared" si="317"/>
        <v>0</v>
      </c>
      <c r="N907" s="22">
        <f t="shared" si="317"/>
        <v>0</v>
      </c>
      <c r="O907" s="22">
        <f t="shared" si="317"/>
        <v>0</v>
      </c>
      <c r="P907" s="35">
        <f t="shared" si="317"/>
        <v>22468.94</v>
      </c>
      <c r="Q907" s="23">
        <f t="shared" si="317"/>
        <v>58007.76999999999</v>
      </c>
    </row>
    <row r="908" spans="1:17" ht="12">
      <c r="A908" s="11">
        <v>54</v>
      </c>
      <c r="B908" s="12">
        <v>96</v>
      </c>
      <c r="C908" s="39" t="s">
        <v>142</v>
      </c>
      <c r="D908" s="41" t="s">
        <v>143</v>
      </c>
      <c r="E908" s="10" t="s">
        <v>21</v>
      </c>
      <c r="F908" s="10">
        <v>975.9</v>
      </c>
      <c r="G908" s="10"/>
      <c r="H908" s="10"/>
      <c r="I908" s="10"/>
      <c r="J908" s="10"/>
      <c r="K908" s="10">
        <v>2383.35</v>
      </c>
      <c r="L908" s="10"/>
      <c r="M908" s="10"/>
      <c r="N908" s="10"/>
      <c r="O908" s="10"/>
      <c r="P908" s="10"/>
      <c r="Q908" s="29">
        <f aca="true" t="shared" si="318" ref="Q908:Q923">SUM(F908:P908)</f>
        <v>3359.25</v>
      </c>
    </row>
    <row r="909" spans="1:17" ht="12">
      <c r="A909" s="11"/>
      <c r="B909" s="12"/>
      <c r="C909" s="39"/>
      <c r="D909" s="41"/>
      <c r="E909" s="10" t="s">
        <v>22</v>
      </c>
      <c r="F909" s="10">
        <v>1658.21</v>
      </c>
      <c r="G909" s="10"/>
      <c r="H909" s="10"/>
      <c r="I909" s="10"/>
      <c r="J909" s="10"/>
      <c r="K909" s="10">
        <v>86.19</v>
      </c>
      <c r="L909" s="10"/>
      <c r="M909" s="10"/>
      <c r="N909" s="10"/>
      <c r="O909" s="10">
        <v>828.11</v>
      </c>
      <c r="P909" s="10"/>
      <c r="Q909" s="29">
        <f t="shared" si="318"/>
        <v>2572.51</v>
      </c>
    </row>
    <row r="910" spans="1:17" ht="12">
      <c r="A910" s="11"/>
      <c r="B910" s="12"/>
      <c r="C910" s="39"/>
      <c r="D910" s="41"/>
      <c r="E910" s="10" t="s">
        <v>23</v>
      </c>
      <c r="F910" s="10">
        <v>1097.55</v>
      </c>
      <c r="G910" s="10"/>
      <c r="H910" s="10"/>
      <c r="I910" s="10"/>
      <c r="J910" s="10"/>
      <c r="K910" s="10">
        <v>1530.11</v>
      </c>
      <c r="L910" s="10"/>
      <c r="M910" s="10"/>
      <c r="N910" s="10"/>
      <c r="O910" s="10">
        <v>1240.12</v>
      </c>
      <c r="P910" s="10"/>
      <c r="Q910" s="29">
        <f t="shared" si="318"/>
        <v>3867.7799999999997</v>
      </c>
    </row>
    <row r="911" spans="1:17" ht="12">
      <c r="A911" s="11"/>
      <c r="B911" s="12"/>
      <c r="C911" s="39"/>
      <c r="D911" s="41"/>
      <c r="E911" s="14" t="s">
        <v>24</v>
      </c>
      <c r="F911" s="14">
        <f aca="true" t="shared" si="319" ref="F911:P911">SUM(F908:F910)</f>
        <v>3731.66</v>
      </c>
      <c r="G911" s="14">
        <f t="shared" si="319"/>
        <v>0</v>
      </c>
      <c r="H911" s="14">
        <f t="shared" si="319"/>
        <v>0</v>
      </c>
      <c r="I911" s="14">
        <f t="shared" si="319"/>
        <v>0</v>
      </c>
      <c r="J911" s="14">
        <f t="shared" si="319"/>
        <v>0</v>
      </c>
      <c r="K911" s="14">
        <f t="shared" si="319"/>
        <v>3999.6499999999996</v>
      </c>
      <c r="L911" s="14">
        <f t="shared" si="319"/>
        <v>0</v>
      </c>
      <c r="M911" s="14">
        <f t="shared" si="319"/>
        <v>0</v>
      </c>
      <c r="N911" s="14">
        <f t="shared" si="319"/>
        <v>0</v>
      </c>
      <c r="O911" s="14">
        <f t="shared" si="319"/>
        <v>2068.23</v>
      </c>
      <c r="P911" s="14">
        <f t="shared" si="319"/>
        <v>0</v>
      </c>
      <c r="Q911" s="55">
        <f t="shared" si="318"/>
        <v>9799.539999999999</v>
      </c>
    </row>
    <row r="912" spans="1:17" ht="12">
      <c r="A912" s="11"/>
      <c r="B912" s="12"/>
      <c r="C912" s="39"/>
      <c r="D912" s="41"/>
      <c r="E912" s="10" t="s">
        <v>25</v>
      </c>
      <c r="F912" s="10">
        <v>1547.96</v>
      </c>
      <c r="G912" s="10"/>
      <c r="H912" s="10">
        <v>120</v>
      </c>
      <c r="I912" s="10"/>
      <c r="J912" s="10"/>
      <c r="K912" s="10"/>
      <c r="L912" s="10"/>
      <c r="M912" s="10"/>
      <c r="N912" s="10"/>
      <c r="O912" s="10">
        <v>828.11</v>
      </c>
      <c r="P912" s="10"/>
      <c r="Q912" s="29">
        <f t="shared" si="318"/>
        <v>2496.07</v>
      </c>
    </row>
    <row r="913" spans="1:17" ht="12">
      <c r="A913" s="11"/>
      <c r="B913" s="12"/>
      <c r="C913" s="39"/>
      <c r="D913" s="41"/>
      <c r="E913" s="10" t="s">
        <v>26</v>
      </c>
      <c r="F913" s="10">
        <v>3463.4</v>
      </c>
      <c r="G913" s="10"/>
      <c r="H913" s="10">
        <v>240</v>
      </c>
      <c r="I913" s="10"/>
      <c r="J913" s="10"/>
      <c r="K913" s="10"/>
      <c r="L913" s="10"/>
      <c r="M913" s="10"/>
      <c r="N913" s="10"/>
      <c r="O913" s="10">
        <v>1268.97</v>
      </c>
      <c r="P913" s="10"/>
      <c r="Q913" s="29">
        <f t="shared" si="318"/>
        <v>4972.37</v>
      </c>
    </row>
    <row r="914" spans="1:17" ht="12">
      <c r="A914" s="11"/>
      <c r="B914" s="12"/>
      <c r="C914" s="39"/>
      <c r="D914" s="41"/>
      <c r="E914" s="10" t="s">
        <v>27</v>
      </c>
      <c r="F914" s="10">
        <v>1421.83</v>
      </c>
      <c r="G914" s="10"/>
      <c r="H914" s="10">
        <v>120</v>
      </c>
      <c r="I914" s="10"/>
      <c r="J914" s="10"/>
      <c r="K914" s="10">
        <v>3965.09</v>
      </c>
      <c r="L914" s="10"/>
      <c r="M914" s="10"/>
      <c r="N914" s="10"/>
      <c r="O914" s="10">
        <v>1268.97</v>
      </c>
      <c r="P914" s="10"/>
      <c r="Q914" s="29">
        <f t="shared" si="318"/>
        <v>6775.89</v>
      </c>
    </row>
    <row r="915" spans="1:17" ht="12">
      <c r="A915" s="11"/>
      <c r="B915" s="12"/>
      <c r="C915" s="39"/>
      <c r="D915" s="41"/>
      <c r="E915" s="14" t="s">
        <v>28</v>
      </c>
      <c r="F915" s="14">
        <f aca="true" t="shared" si="320" ref="F915:P915">SUM(F912:F914)</f>
        <v>6433.1900000000005</v>
      </c>
      <c r="G915" s="14">
        <f t="shared" si="320"/>
        <v>0</v>
      </c>
      <c r="H915" s="14">
        <f t="shared" si="320"/>
        <v>480</v>
      </c>
      <c r="I915" s="14">
        <f t="shared" si="320"/>
        <v>0</v>
      </c>
      <c r="J915" s="14">
        <f t="shared" si="320"/>
        <v>0</v>
      </c>
      <c r="K915" s="14">
        <f t="shared" si="320"/>
        <v>3965.09</v>
      </c>
      <c r="L915" s="14">
        <f t="shared" si="320"/>
        <v>0</v>
      </c>
      <c r="M915" s="14">
        <f t="shared" si="320"/>
        <v>0</v>
      </c>
      <c r="N915" s="14">
        <f t="shared" si="320"/>
        <v>0</v>
      </c>
      <c r="O915" s="14">
        <f t="shared" si="320"/>
        <v>3366.05</v>
      </c>
      <c r="P915" s="14">
        <f t="shared" si="320"/>
        <v>0</v>
      </c>
      <c r="Q915" s="55">
        <f t="shared" si="318"/>
        <v>14244.330000000002</v>
      </c>
    </row>
    <row r="916" spans="1:17" ht="12">
      <c r="A916" s="11"/>
      <c r="B916" s="12"/>
      <c r="C916" s="39"/>
      <c r="D916" s="41"/>
      <c r="E916" s="10" t="s">
        <v>29</v>
      </c>
      <c r="F916" s="10">
        <v>3055.08</v>
      </c>
      <c r="G916" s="10"/>
      <c r="H916" s="16">
        <v>120</v>
      </c>
      <c r="I916" s="10"/>
      <c r="J916" s="10"/>
      <c r="K916" s="10"/>
      <c r="L916" s="10"/>
      <c r="M916" s="10"/>
      <c r="N916" s="10"/>
      <c r="O916" s="16">
        <v>828.11</v>
      </c>
      <c r="P916" s="10"/>
      <c r="Q916" s="29">
        <f t="shared" si="318"/>
        <v>4003.19</v>
      </c>
    </row>
    <row r="917" spans="1:17" ht="12.75">
      <c r="A917" s="11"/>
      <c r="B917" s="12"/>
      <c r="C917" s="39"/>
      <c r="D917" s="41"/>
      <c r="E917" s="10" t="s">
        <v>30</v>
      </c>
      <c r="F917" s="10">
        <v>5374.87</v>
      </c>
      <c r="G917" s="10"/>
      <c r="H917" s="17">
        <v>480</v>
      </c>
      <c r="I917" s="10"/>
      <c r="J917" s="10"/>
      <c r="K917" s="10"/>
      <c r="L917" s="10"/>
      <c r="M917" s="10"/>
      <c r="N917" s="10"/>
      <c r="O917" s="17">
        <v>1311.28</v>
      </c>
      <c r="P917" s="10"/>
      <c r="Q917" s="29">
        <f t="shared" si="318"/>
        <v>7166.15</v>
      </c>
    </row>
    <row r="918" spans="1:17" ht="12.75">
      <c r="A918" s="11"/>
      <c r="B918" s="12"/>
      <c r="C918" s="39"/>
      <c r="D918" s="41"/>
      <c r="E918" s="10" t="s">
        <v>31</v>
      </c>
      <c r="F918" s="10">
        <v>2804.73</v>
      </c>
      <c r="G918" s="10"/>
      <c r="H918" s="17">
        <v>240</v>
      </c>
      <c r="I918" s="10"/>
      <c r="J918" s="10"/>
      <c r="K918" s="17">
        <v>438.78</v>
      </c>
      <c r="L918" s="10"/>
      <c r="M918" s="10"/>
      <c r="N918" s="10"/>
      <c r="O918" s="17">
        <v>1083.3</v>
      </c>
      <c r="P918" s="10"/>
      <c r="Q918" s="29">
        <f t="shared" si="318"/>
        <v>4566.81</v>
      </c>
    </row>
    <row r="919" spans="1:17" ht="12">
      <c r="A919" s="11"/>
      <c r="B919" s="12"/>
      <c r="C919" s="39"/>
      <c r="D919" s="41"/>
      <c r="E919" s="14" t="s">
        <v>32</v>
      </c>
      <c r="F919" s="14">
        <f aca="true" t="shared" si="321" ref="F919:P919">SUM(F916:F918)</f>
        <v>11234.68</v>
      </c>
      <c r="G919" s="14">
        <f t="shared" si="321"/>
        <v>0</v>
      </c>
      <c r="H919" s="14">
        <f t="shared" si="321"/>
        <v>840</v>
      </c>
      <c r="I919" s="14">
        <f t="shared" si="321"/>
        <v>0</v>
      </c>
      <c r="J919" s="14">
        <f t="shared" si="321"/>
        <v>0</v>
      </c>
      <c r="K919" s="14">
        <f t="shared" si="321"/>
        <v>438.78</v>
      </c>
      <c r="L919" s="14">
        <f t="shared" si="321"/>
        <v>0</v>
      </c>
      <c r="M919" s="14">
        <f t="shared" si="321"/>
        <v>0</v>
      </c>
      <c r="N919" s="14">
        <f t="shared" si="321"/>
        <v>0</v>
      </c>
      <c r="O919" s="14">
        <f t="shared" si="321"/>
        <v>3222.6899999999996</v>
      </c>
      <c r="P919" s="14">
        <f t="shared" si="321"/>
        <v>0</v>
      </c>
      <c r="Q919" s="55">
        <f t="shared" si="318"/>
        <v>15736.150000000001</v>
      </c>
    </row>
    <row r="920" spans="1:17" ht="12.75">
      <c r="A920" s="11"/>
      <c r="B920" s="12"/>
      <c r="C920" s="39"/>
      <c r="D920" s="41"/>
      <c r="E920" s="10" t="s">
        <v>33</v>
      </c>
      <c r="F920" s="10">
        <v>3955.77</v>
      </c>
      <c r="G920" s="10"/>
      <c r="H920" s="17">
        <v>480</v>
      </c>
      <c r="I920" s="10"/>
      <c r="J920" s="10"/>
      <c r="K920" s="17">
        <v>86.19</v>
      </c>
      <c r="L920" s="10"/>
      <c r="M920" s="10"/>
      <c r="N920" s="10"/>
      <c r="O920" s="17">
        <v>1539.25</v>
      </c>
      <c r="P920" s="10"/>
      <c r="Q920" s="29">
        <f t="shared" si="318"/>
        <v>6061.21</v>
      </c>
    </row>
    <row r="921" spans="1:17" ht="12.75">
      <c r="A921" s="11"/>
      <c r="B921" s="12"/>
      <c r="C921" s="39"/>
      <c r="D921" s="41"/>
      <c r="E921" s="10" t="s">
        <v>34</v>
      </c>
      <c r="F921" s="10">
        <v>3194.28</v>
      </c>
      <c r="G921" s="10"/>
      <c r="H921" s="17">
        <v>120</v>
      </c>
      <c r="I921" s="10"/>
      <c r="J921" s="10"/>
      <c r="K921" s="10"/>
      <c r="L921" s="10"/>
      <c r="M921" s="10"/>
      <c r="N921" s="10"/>
      <c r="O921" s="17">
        <v>1268.97</v>
      </c>
      <c r="P921" s="10"/>
      <c r="Q921" s="29">
        <f t="shared" si="318"/>
        <v>4583.25</v>
      </c>
    </row>
    <row r="922" spans="1:17" ht="12.75">
      <c r="A922" s="11"/>
      <c r="B922" s="12"/>
      <c r="C922" s="39"/>
      <c r="D922" s="41"/>
      <c r="E922" s="10" t="s">
        <v>35</v>
      </c>
      <c r="F922" s="10">
        <v>2416.76</v>
      </c>
      <c r="G922" s="10"/>
      <c r="H922" s="18">
        <v>120</v>
      </c>
      <c r="I922" s="10"/>
      <c r="J922" s="10"/>
      <c r="K922" s="10"/>
      <c r="L922" s="10"/>
      <c r="M922" s="10"/>
      <c r="N922" s="10"/>
      <c r="O922" s="18">
        <v>2622.54</v>
      </c>
      <c r="P922" s="10"/>
      <c r="Q922" s="29">
        <f t="shared" si="318"/>
        <v>5159.3</v>
      </c>
    </row>
    <row r="923" spans="1:17" ht="12">
      <c r="A923" s="11"/>
      <c r="B923" s="12"/>
      <c r="C923" s="39"/>
      <c r="D923" s="41"/>
      <c r="E923" s="14" t="s">
        <v>36</v>
      </c>
      <c r="F923" s="14">
        <f aca="true" t="shared" si="322" ref="F923:P923">SUM(F920:F922)</f>
        <v>9566.810000000001</v>
      </c>
      <c r="G923" s="14">
        <f t="shared" si="322"/>
        <v>0</v>
      </c>
      <c r="H923" s="14">
        <f t="shared" si="322"/>
        <v>720</v>
      </c>
      <c r="I923" s="14">
        <f t="shared" si="322"/>
        <v>0</v>
      </c>
      <c r="J923" s="14">
        <f t="shared" si="322"/>
        <v>0</v>
      </c>
      <c r="K923" s="14">
        <f t="shared" si="322"/>
        <v>86.19</v>
      </c>
      <c r="L923" s="14">
        <f t="shared" si="322"/>
        <v>0</v>
      </c>
      <c r="M923" s="14">
        <f t="shared" si="322"/>
        <v>0</v>
      </c>
      <c r="N923" s="14">
        <f t="shared" si="322"/>
        <v>0</v>
      </c>
      <c r="O923" s="14">
        <f t="shared" si="322"/>
        <v>5430.76</v>
      </c>
      <c r="P923" s="14">
        <f t="shared" si="322"/>
        <v>0</v>
      </c>
      <c r="Q923" s="55">
        <f t="shared" si="318"/>
        <v>15803.760000000002</v>
      </c>
    </row>
    <row r="924" spans="1:17" ht="12.75" thickBot="1">
      <c r="A924" s="11"/>
      <c r="B924" s="12"/>
      <c r="C924" s="39"/>
      <c r="D924" s="41"/>
      <c r="E924" s="22" t="s">
        <v>37</v>
      </c>
      <c r="F924" s="22">
        <f aca="true" t="shared" si="323" ref="F924:Q924">F911+F915+F919+F923</f>
        <v>30966.34</v>
      </c>
      <c r="G924" s="22">
        <f t="shared" si="323"/>
        <v>0</v>
      </c>
      <c r="H924" s="22">
        <f t="shared" si="323"/>
        <v>2040</v>
      </c>
      <c r="I924" s="22">
        <f t="shared" si="323"/>
        <v>0</v>
      </c>
      <c r="J924" s="22">
        <f t="shared" si="323"/>
        <v>0</v>
      </c>
      <c r="K924" s="22">
        <f t="shared" si="323"/>
        <v>8489.710000000001</v>
      </c>
      <c r="L924" s="22">
        <f t="shared" si="323"/>
        <v>0</v>
      </c>
      <c r="M924" s="22">
        <f t="shared" si="323"/>
        <v>0</v>
      </c>
      <c r="N924" s="22">
        <f t="shared" si="323"/>
        <v>0</v>
      </c>
      <c r="O924" s="22">
        <f t="shared" si="323"/>
        <v>14087.730000000001</v>
      </c>
      <c r="P924" s="35">
        <f t="shared" si="323"/>
        <v>0</v>
      </c>
      <c r="Q924" s="23">
        <f t="shared" si="323"/>
        <v>55583.780000000006</v>
      </c>
    </row>
    <row r="925" spans="1:17" ht="12">
      <c r="A925" s="11">
        <v>55</v>
      </c>
      <c r="B925" s="12">
        <v>95</v>
      </c>
      <c r="C925" s="39" t="s">
        <v>144</v>
      </c>
      <c r="D925" s="41" t="s">
        <v>145</v>
      </c>
      <c r="E925" s="10" t="s">
        <v>21</v>
      </c>
      <c r="F925" s="10">
        <v>373.21</v>
      </c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29">
        <f aca="true" t="shared" si="324" ref="Q925:Q940">SUM(F925:P925)</f>
        <v>373.21</v>
      </c>
    </row>
    <row r="926" spans="1:17" ht="12">
      <c r="A926" s="11"/>
      <c r="B926" s="12"/>
      <c r="C926" s="39"/>
      <c r="D926" s="41"/>
      <c r="E926" s="10" t="s">
        <v>22</v>
      </c>
      <c r="F926" s="10">
        <v>614.82</v>
      </c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29">
        <f t="shared" si="324"/>
        <v>614.82</v>
      </c>
    </row>
    <row r="927" spans="1:17" ht="12">
      <c r="A927" s="11"/>
      <c r="B927" s="12"/>
      <c r="C927" s="39"/>
      <c r="D927" s="41"/>
      <c r="E927" s="10" t="s">
        <v>23</v>
      </c>
      <c r="F927" s="10">
        <v>1130.25</v>
      </c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29">
        <f t="shared" si="324"/>
        <v>1130.25</v>
      </c>
    </row>
    <row r="928" spans="1:17" ht="12">
      <c r="A928" s="11"/>
      <c r="B928" s="12"/>
      <c r="C928" s="39"/>
      <c r="D928" s="41"/>
      <c r="E928" s="14" t="s">
        <v>24</v>
      </c>
      <c r="F928" s="14">
        <f aca="true" t="shared" si="325" ref="F928:P928">SUM(F925:F927)</f>
        <v>2118.2799999999997</v>
      </c>
      <c r="G928" s="14">
        <f t="shared" si="325"/>
        <v>0</v>
      </c>
      <c r="H928" s="14">
        <f t="shared" si="325"/>
        <v>0</v>
      </c>
      <c r="I928" s="14">
        <f t="shared" si="325"/>
        <v>0</v>
      </c>
      <c r="J928" s="14">
        <f t="shared" si="325"/>
        <v>0</v>
      </c>
      <c r="K928" s="14">
        <f t="shared" si="325"/>
        <v>0</v>
      </c>
      <c r="L928" s="14">
        <f t="shared" si="325"/>
        <v>0</v>
      </c>
      <c r="M928" s="14">
        <f t="shared" si="325"/>
        <v>0</v>
      </c>
      <c r="N928" s="14">
        <f t="shared" si="325"/>
        <v>0</v>
      </c>
      <c r="O928" s="14">
        <f t="shared" si="325"/>
        <v>0</v>
      </c>
      <c r="P928" s="14">
        <f t="shared" si="325"/>
        <v>0</v>
      </c>
      <c r="Q928" s="55">
        <f t="shared" si="324"/>
        <v>2118.2799999999997</v>
      </c>
    </row>
    <row r="929" spans="1:17" ht="12">
      <c r="A929" s="11"/>
      <c r="B929" s="12"/>
      <c r="C929" s="39"/>
      <c r="D929" s="41"/>
      <c r="E929" s="10" t="s">
        <v>25</v>
      </c>
      <c r="F929" s="10">
        <v>348.05</v>
      </c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29">
        <f t="shared" si="324"/>
        <v>348.05</v>
      </c>
    </row>
    <row r="930" spans="1:17" ht="12">
      <c r="A930" s="11"/>
      <c r="B930" s="12"/>
      <c r="C930" s="39"/>
      <c r="D930" s="41"/>
      <c r="E930" s="10" t="s">
        <v>26</v>
      </c>
      <c r="F930" s="10">
        <v>807.68</v>
      </c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29">
        <f t="shared" si="324"/>
        <v>807.68</v>
      </c>
    </row>
    <row r="931" spans="1:17" ht="12">
      <c r="A931" s="11"/>
      <c r="B931" s="12"/>
      <c r="C931" s="39"/>
      <c r="D931" s="41"/>
      <c r="E931" s="10" t="s">
        <v>27</v>
      </c>
      <c r="F931" s="10">
        <v>795.19</v>
      </c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29">
        <f t="shared" si="324"/>
        <v>795.19</v>
      </c>
    </row>
    <row r="932" spans="1:17" ht="12">
      <c r="A932" s="11"/>
      <c r="B932" s="12"/>
      <c r="C932" s="39"/>
      <c r="D932" s="41"/>
      <c r="E932" s="14" t="s">
        <v>28</v>
      </c>
      <c r="F932" s="14">
        <f aca="true" t="shared" si="326" ref="F932:P932">SUM(F929:F931)</f>
        <v>1950.92</v>
      </c>
      <c r="G932" s="14">
        <f t="shared" si="326"/>
        <v>0</v>
      </c>
      <c r="H932" s="14">
        <f t="shared" si="326"/>
        <v>0</v>
      </c>
      <c r="I932" s="14">
        <f t="shared" si="326"/>
        <v>0</v>
      </c>
      <c r="J932" s="14">
        <f t="shared" si="326"/>
        <v>0</v>
      </c>
      <c r="K932" s="14">
        <f t="shared" si="326"/>
        <v>0</v>
      </c>
      <c r="L932" s="14">
        <f t="shared" si="326"/>
        <v>0</v>
      </c>
      <c r="M932" s="14">
        <f t="shared" si="326"/>
        <v>0</v>
      </c>
      <c r="N932" s="14">
        <f t="shared" si="326"/>
        <v>0</v>
      </c>
      <c r="O932" s="14">
        <f t="shared" si="326"/>
        <v>0</v>
      </c>
      <c r="P932" s="14">
        <f t="shared" si="326"/>
        <v>0</v>
      </c>
      <c r="Q932" s="55">
        <f t="shared" si="324"/>
        <v>1950.92</v>
      </c>
    </row>
    <row r="933" spans="1:17" ht="12">
      <c r="A933" s="11"/>
      <c r="B933" s="12"/>
      <c r="C933" s="39"/>
      <c r="D933" s="41"/>
      <c r="E933" s="10" t="s">
        <v>29</v>
      </c>
      <c r="F933" s="10">
        <v>337.92</v>
      </c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29">
        <f t="shared" si="324"/>
        <v>337.92</v>
      </c>
    </row>
    <row r="934" spans="1:17" ht="12">
      <c r="A934" s="11"/>
      <c r="B934" s="12"/>
      <c r="C934" s="39"/>
      <c r="D934" s="41"/>
      <c r="E934" s="10" t="s">
        <v>30</v>
      </c>
      <c r="F934" s="10">
        <v>811.64</v>
      </c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29">
        <f t="shared" si="324"/>
        <v>811.64</v>
      </c>
    </row>
    <row r="935" spans="1:17" ht="12">
      <c r="A935" s="11"/>
      <c r="B935" s="12"/>
      <c r="C935" s="39"/>
      <c r="D935" s="41"/>
      <c r="E935" s="10" t="s">
        <v>31</v>
      </c>
      <c r="F935" s="10">
        <v>896.27</v>
      </c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29">
        <f t="shared" si="324"/>
        <v>896.27</v>
      </c>
    </row>
    <row r="936" spans="1:17" ht="12">
      <c r="A936" s="11"/>
      <c r="B936" s="12"/>
      <c r="C936" s="39"/>
      <c r="D936" s="41"/>
      <c r="E936" s="14" t="s">
        <v>32</v>
      </c>
      <c r="F936" s="14">
        <f aca="true" t="shared" si="327" ref="F936:P936">SUM(F933:F935)</f>
        <v>2045.83</v>
      </c>
      <c r="G936" s="14">
        <f t="shared" si="327"/>
        <v>0</v>
      </c>
      <c r="H936" s="14">
        <f t="shared" si="327"/>
        <v>0</v>
      </c>
      <c r="I936" s="14">
        <f t="shared" si="327"/>
        <v>0</v>
      </c>
      <c r="J936" s="14">
        <f t="shared" si="327"/>
        <v>0</v>
      </c>
      <c r="K936" s="14">
        <f t="shared" si="327"/>
        <v>0</v>
      </c>
      <c r="L936" s="14">
        <f t="shared" si="327"/>
        <v>0</v>
      </c>
      <c r="M936" s="14">
        <f t="shared" si="327"/>
        <v>0</v>
      </c>
      <c r="N936" s="14">
        <f t="shared" si="327"/>
        <v>0</v>
      </c>
      <c r="O936" s="14">
        <f t="shared" si="327"/>
        <v>0</v>
      </c>
      <c r="P936" s="14">
        <f t="shared" si="327"/>
        <v>0</v>
      </c>
      <c r="Q936" s="55">
        <f t="shared" si="324"/>
        <v>2045.83</v>
      </c>
    </row>
    <row r="937" spans="1:17" ht="12">
      <c r="A937" s="11"/>
      <c r="B937" s="12"/>
      <c r="C937" s="39"/>
      <c r="D937" s="41"/>
      <c r="E937" s="10" t="s">
        <v>33</v>
      </c>
      <c r="F937" s="10">
        <v>708.12</v>
      </c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29">
        <f t="shared" si="324"/>
        <v>708.12</v>
      </c>
    </row>
    <row r="938" spans="1:17" ht="12">
      <c r="A938" s="11"/>
      <c r="B938" s="12"/>
      <c r="C938" s="39"/>
      <c r="D938" s="41"/>
      <c r="E938" s="10" t="s">
        <v>34</v>
      </c>
      <c r="F938" s="10">
        <v>588.31</v>
      </c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29">
        <f t="shared" si="324"/>
        <v>588.31</v>
      </c>
    </row>
    <row r="939" spans="1:17" ht="12">
      <c r="A939" s="11"/>
      <c r="B939" s="12"/>
      <c r="C939" s="39"/>
      <c r="D939" s="41"/>
      <c r="E939" s="10" t="s">
        <v>35</v>
      </c>
      <c r="F939" s="10">
        <v>893.93</v>
      </c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29">
        <f t="shared" si="324"/>
        <v>893.93</v>
      </c>
    </row>
    <row r="940" spans="1:17" ht="12">
      <c r="A940" s="11"/>
      <c r="B940" s="12"/>
      <c r="C940" s="39"/>
      <c r="D940" s="41"/>
      <c r="E940" s="14" t="s">
        <v>36</v>
      </c>
      <c r="F940" s="14">
        <f aca="true" t="shared" si="328" ref="F940:P940">SUM(F937:F939)</f>
        <v>2190.3599999999997</v>
      </c>
      <c r="G940" s="14">
        <f t="shared" si="328"/>
        <v>0</v>
      </c>
      <c r="H940" s="14">
        <f t="shared" si="328"/>
        <v>0</v>
      </c>
      <c r="I940" s="14">
        <f t="shared" si="328"/>
        <v>0</v>
      </c>
      <c r="J940" s="14">
        <f t="shared" si="328"/>
        <v>0</v>
      </c>
      <c r="K940" s="14">
        <f t="shared" si="328"/>
        <v>0</v>
      </c>
      <c r="L940" s="14">
        <f t="shared" si="328"/>
        <v>0</v>
      </c>
      <c r="M940" s="14">
        <f t="shared" si="328"/>
        <v>0</v>
      </c>
      <c r="N940" s="14">
        <f t="shared" si="328"/>
        <v>0</v>
      </c>
      <c r="O940" s="14">
        <f t="shared" si="328"/>
        <v>0</v>
      </c>
      <c r="P940" s="14">
        <f t="shared" si="328"/>
        <v>0</v>
      </c>
      <c r="Q940" s="55">
        <f t="shared" si="324"/>
        <v>2190.3599999999997</v>
      </c>
    </row>
    <row r="941" spans="1:17" ht="12.75" thickBot="1">
      <c r="A941" s="11"/>
      <c r="B941" s="12"/>
      <c r="C941" s="39"/>
      <c r="D941" s="41"/>
      <c r="E941" s="22" t="s">
        <v>37</v>
      </c>
      <c r="F941" s="22">
        <f aca="true" t="shared" si="329" ref="F941:Q941">F928+F932+F936+F940</f>
        <v>8305.39</v>
      </c>
      <c r="G941" s="22">
        <f t="shared" si="329"/>
        <v>0</v>
      </c>
      <c r="H941" s="22">
        <f t="shared" si="329"/>
        <v>0</v>
      </c>
      <c r="I941" s="22">
        <f t="shared" si="329"/>
        <v>0</v>
      </c>
      <c r="J941" s="22">
        <f t="shared" si="329"/>
        <v>0</v>
      </c>
      <c r="K941" s="22">
        <f t="shared" si="329"/>
        <v>0</v>
      </c>
      <c r="L941" s="22">
        <f t="shared" si="329"/>
        <v>0</v>
      </c>
      <c r="M941" s="22">
        <f t="shared" si="329"/>
        <v>0</v>
      </c>
      <c r="N941" s="22">
        <f t="shared" si="329"/>
        <v>0</v>
      </c>
      <c r="O941" s="22">
        <f t="shared" si="329"/>
        <v>0</v>
      </c>
      <c r="P941" s="35">
        <f t="shared" si="329"/>
        <v>0</v>
      </c>
      <c r="Q941" s="23">
        <f t="shared" si="329"/>
        <v>8305.39</v>
      </c>
    </row>
    <row r="942" spans="1:17" ht="12">
      <c r="A942" s="11">
        <v>56</v>
      </c>
      <c r="B942" s="43">
        <v>99</v>
      </c>
      <c r="C942" s="39" t="s">
        <v>146</v>
      </c>
      <c r="D942" s="41" t="s">
        <v>147</v>
      </c>
      <c r="E942" s="10" t="s">
        <v>21</v>
      </c>
      <c r="F942" s="10">
        <v>1181.11</v>
      </c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29">
        <f aca="true" t="shared" si="330" ref="Q942:Q957">SUM(F942:P942)</f>
        <v>1181.11</v>
      </c>
    </row>
    <row r="943" spans="1:17" ht="12">
      <c r="A943" s="11"/>
      <c r="B943" s="43"/>
      <c r="C943" s="39"/>
      <c r="D943" s="41"/>
      <c r="E943" s="10" t="s">
        <v>22</v>
      </c>
      <c r="F943" s="10">
        <v>1117.08</v>
      </c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29">
        <f t="shared" si="330"/>
        <v>1117.08</v>
      </c>
    </row>
    <row r="944" spans="1:17" ht="12">
      <c r="A944" s="11"/>
      <c r="B944" s="43"/>
      <c r="C944" s="39"/>
      <c r="D944" s="41"/>
      <c r="E944" s="10" t="s">
        <v>23</v>
      </c>
      <c r="F944" s="15">
        <f>1369.98-1369.98</f>
        <v>0</v>
      </c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29">
        <f t="shared" si="330"/>
        <v>0</v>
      </c>
    </row>
    <row r="945" spans="1:17" ht="12">
      <c r="A945" s="11"/>
      <c r="B945" s="43"/>
      <c r="C945" s="39"/>
      <c r="D945" s="41"/>
      <c r="E945" s="14" t="s">
        <v>24</v>
      </c>
      <c r="F945" s="14">
        <f aca="true" t="shared" si="331" ref="F945:P945">SUM(F942:F944)</f>
        <v>2298.1899999999996</v>
      </c>
      <c r="G945" s="14">
        <f t="shared" si="331"/>
        <v>0</v>
      </c>
      <c r="H945" s="14">
        <f t="shared" si="331"/>
        <v>0</v>
      </c>
      <c r="I945" s="14">
        <f t="shared" si="331"/>
        <v>0</v>
      </c>
      <c r="J945" s="14">
        <f t="shared" si="331"/>
        <v>0</v>
      </c>
      <c r="K945" s="14">
        <f t="shared" si="331"/>
        <v>0</v>
      </c>
      <c r="L945" s="14">
        <f t="shared" si="331"/>
        <v>0</v>
      </c>
      <c r="M945" s="14">
        <f t="shared" si="331"/>
        <v>0</v>
      </c>
      <c r="N945" s="14">
        <f t="shared" si="331"/>
        <v>0</v>
      </c>
      <c r="O945" s="14">
        <f t="shared" si="331"/>
        <v>0</v>
      </c>
      <c r="P945" s="14">
        <f t="shared" si="331"/>
        <v>0</v>
      </c>
      <c r="Q945" s="55">
        <f t="shared" si="330"/>
        <v>2298.1899999999996</v>
      </c>
    </row>
    <row r="946" spans="1:17" ht="12">
      <c r="A946" s="11"/>
      <c r="B946" s="43"/>
      <c r="C946" s="39"/>
      <c r="D946" s="41"/>
      <c r="E946" s="10" t="s">
        <v>25</v>
      </c>
      <c r="F946" s="10">
        <f>1369.98+1415.97</f>
        <v>2785.95</v>
      </c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29">
        <f t="shared" si="330"/>
        <v>2785.95</v>
      </c>
    </row>
    <row r="947" spans="1:17" ht="12">
      <c r="A947" s="11"/>
      <c r="B947" s="43"/>
      <c r="C947" s="39"/>
      <c r="D947" s="41"/>
      <c r="E947" s="10" t="s">
        <v>26</v>
      </c>
      <c r="F947" s="10">
        <v>1463.08</v>
      </c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29">
        <f t="shared" si="330"/>
        <v>1463.08</v>
      </c>
    </row>
    <row r="948" spans="1:17" ht="12">
      <c r="A948" s="11"/>
      <c r="B948" s="43"/>
      <c r="C948" s="39"/>
      <c r="D948" s="41"/>
      <c r="E948" s="10" t="s">
        <v>27</v>
      </c>
      <c r="F948" s="10">
        <v>1846.92</v>
      </c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29">
        <f t="shared" si="330"/>
        <v>1846.92</v>
      </c>
    </row>
    <row r="949" spans="1:17" ht="12">
      <c r="A949" s="11"/>
      <c r="B949" s="43"/>
      <c r="C949" s="39"/>
      <c r="D949" s="41"/>
      <c r="E949" s="14" t="s">
        <v>28</v>
      </c>
      <c r="F949" s="14">
        <f aca="true" t="shared" si="332" ref="F949:P949">SUM(F946:F948)</f>
        <v>6095.95</v>
      </c>
      <c r="G949" s="14">
        <f t="shared" si="332"/>
        <v>0</v>
      </c>
      <c r="H949" s="14">
        <f t="shared" si="332"/>
        <v>0</v>
      </c>
      <c r="I949" s="14">
        <f t="shared" si="332"/>
        <v>0</v>
      </c>
      <c r="J949" s="14">
        <f t="shared" si="332"/>
        <v>0</v>
      </c>
      <c r="K949" s="14">
        <f t="shared" si="332"/>
        <v>0</v>
      </c>
      <c r="L949" s="14">
        <f t="shared" si="332"/>
        <v>0</v>
      </c>
      <c r="M949" s="14">
        <f t="shared" si="332"/>
        <v>0</v>
      </c>
      <c r="N949" s="14">
        <f t="shared" si="332"/>
        <v>0</v>
      </c>
      <c r="O949" s="14">
        <f t="shared" si="332"/>
        <v>0</v>
      </c>
      <c r="P949" s="14">
        <f t="shared" si="332"/>
        <v>0</v>
      </c>
      <c r="Q949" s="55">
        <f t="shared" si="330"/>
        <v>6095.95</v>
      </c>
    </row>
    <row r="950" spans="1:17" ht="12">
      <c r="A950" s="11"/>
      <c r="B950" s="43"/>
      <c r="C950" s="39"/>
      <c r="D950" s="41"/>
      <c r="E950" s="10" t="s">
        <v>29</v>
      </c>
      <c r="F950" s="3">
        <v>1565.25</v>
      </c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29">
        <f t="shared" si="330"/>
        <v>1565.25</v>
      </c>
    </row>
    <row r="951" spans="1:17" ht="12">
      <c r="A951" s="11"/>
      <c r="B951" s="43"/>
      <c r="C951" s="39"/>
      <c r="D951" s="41"/>
      <c r="E951" s="10" t="s">
        <v>30</v>
      </c>
      <c r="F951" s="10">
        <v>2011.39</v>
      </c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29">
        <f t="shared" si="330"/>
        <v>2011.39</v>
      </c>
    </row>
    <row r="952" spans="1:17" ht="12">
      <c r="A952" s="11"/>
      <c r="B952" s="43"/>
      <c r="C952" s="39"/>
      <c r="D952" s="41"/>
      <c r="E952" s="10" t="s">
        <v>31</v>
      </c>
      <c r="F952" s="10">
        <v>1180.48</v>
      </c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29">
        <f t="shared" si="330"/>
        <v>1180.48</v>
      </c>
    </row>
    <row r="953" spans="1:17" ht="12">
      <c r="A953" s="11"/>
      <c r="B953" s="43"/>
      <c r="C953" s="39"/>
      <c r="D953" s="41"/>
      <c r="E953" s="14" t="s">
        <v>32</v>
      </c>
      <c r="F953" s="14">
        <f aca="true" t="shared" si="333" ref="F953:P953">SUM(F950:F952)</f>
        <v>4757.120000000001</v>
      </c>
      <c r="G953" s="14">
        <f t="shared" si="333"/>
        <v>0</v>
      </c>
      <c r="H953" s="14">
        <f t="shared" si="333"/>
        <v>0</v>
      </c>
      <c r="I953" s="14">
        <f t="shared" si="333"/>
        <v>0</v>
      </c>
      <c r="J953" s="14">
        <f t="shared" si="333"/>
        <v>0</v>
      </c>
      <c r="K953" s="14">
        <f t="shared" si="333"/>
        <v>0</v>
      </c>
      <c r="L953" s="14">
        <f t="shared" si="333"/>
        <v>0</v>
      </c>
      <c r="M953" s="14">
        <f t="shared" si="333"/>
        <v>0</v>
      </c>
      <c r="N953" s="14">
        <f t="shared" si="333"/>
        <v>0</v>
      </c>
      <c r="O953" s="14">
        <f t="shared" si="333"/>
        <v>0</v>
      </c>
      <c r="P953" s="14">
        <f t="shared" si="333"/>
        <v>0</v>
      </c>
      <c r="Q953" s="55">
        <f t="shared" si="330"/>
        <v>4757.120000000001</v>
      </c>
    </row>
    <row r="954" spans="1:17" ht="12">
      <c r="A954" s="11"/>
      <c r="B954" s="43"/>
      <c r="C954" s="39"/>
      <c r="D954" s="41"/>
      <c r="E954" s="10" t="s">
        <v>33</v>
      </c>
      <c r="F954" s="10">
        <v>2112.76</v>
      </c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29">
        <f t="shared" si="330"/>
        <v>2112.76</v>
      </c>
    </row>
    <row r="955" spans="1:17" ht="12">
      <c r="A955" s="11"/>
      <c r="B955" s="43"/>
      <c r="C955" s="39"/>
      <c r="D955" s="41"/>
      <c r="E955" s="10" t="s">
        <v>34</v>
      </c>
      <c r="F955" s="10">
        <v>1321.64</v>
      </c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29">
        <f t="shared" si="330"/>
        <v>1321.64</v>
      </c>
    </row>
    <row r="956" spans="1:17" ht="12.75">
      <c r="A956" s="11"/>
      <c r="B956" s="43"/>
      <c r="C956" s="39"/>
      <c r="D956" s="41"/>
      <c r="E956" s="10" t="s">
        <v>35</v>
      </c>
      <c r="F956" s="18">
        <v>2150.45</v>
      </c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29">
        <f t="shared" si="330"/>
        <v>2150.45</v>
      </c>
    </row>
    <row r="957" spans="1:17" ht="12">
      <c r="A957" s="11"/>
      <c r="B957" s="43"/>
      <c r="C957" s="39"/>
      <c r="D957" s="41"/>
      <c r="E957" s="14" t="s">
        <v>36</v>
      </c>
      <c r="F957" s="14">
        <f aca="true" t="shared" si="334" ref="F957:P957">SUM(F954:F956)</f>
        <v>5584.85</v>
      </c>
      <c r="G957" s="14">
        <f t="shared" si="334"/>
        <v>0</v>
      </c>
      <c r="H957" s="14">
        <f t="shared" si="334"/>
        <v>0</v>
      </c>
      <c r="I957" s="14">
        <f t="shared" si="334"/>
        <v>0</v>
      </c>
      <c r="J957" s="14">
        <f t="shared" si="334"/>
        <v>0</v>
      </c>
      <c r="K957" s="14">
        <f t="shared" si="334"/>
        <v>0</v>
      </c>
      <c r="L957" s="14">
        <f t="shared" si="334"/>
        <v>0</v>
      </c>
      <c r="M957" s="14">
        <f t="shared" si="334"/>
        <v>0</v>
      </c>
      <c r="N957" s="14">
        <f t="shared" si="334"/>
        <v>0</v>
      </c>
      <c r="O957" s="14">
        <f t="shared" si="334"/>
        <v>0</v>
      </c>
      <c r="P957" s="14">
        <f t="shared" si="334"/>
        <v>0</v>
      </c>
      <c r="Q957" s="55">
        <f t="shared" si="330"/>
        <v>5584.85</v>
      </c>
    </row>
    <row r="958" spans="1:17" ht="12.75" thickBot="1">
      <c r="A958" s="11"/>
      <c r="B958" s="43"/>
      <c r="C958" s="39"/>
      <c r="D958" s="41"/>
      <c r="E958" s="22" t="s">
        <v>37</v>
      </c>
      <c r="F958" s="22">
        <f aca="true" t="shared" si="335" ref="F958:Q958">F945+F949+F953+F957</f>
        <v>18736.11</v>
      </c>
      <c r="G958" s="22">
        <f t="shared" si="335"/>
        <v>0</v>
      </c>
      <c r="H958" s="22">
        <f t="shared" si="335"/>
        <v>0</v>
      </c>
      <c r="I958" s="22">
        <f t="shared" si="335"/>
        <v>0</v>
      </c>
      <c r="J958" s="22">
        <f t="shared" si="335"/>
        <v>0</v>
      </c>
      <c r="K958" s="22">
        <f t="shared" si="335"/>
        <v>0</v>
      </c>
      <c r="L958" s="22">
        <f t="shared" si="335"/>
        <v>0</v>
      </c>
      <c r="M958" s="22">
        <f t="shared" si="335"/>
        <v>0</v>
      </c>
      <c r="N958" s="22">
        <f t="shared" si="335"/>
        <v>0</v>
      </c>
      <c r="O958" s="22">
        <f t="shared" si="335"/>
        <v>0</v>
      </c>
      <c r="P958" s="35">
        <f t="shared" si="335"/>
        <v>0</v>
      </c>
      <c r="Q958" s="23">
        <f t="shared" si="335"/>
        <v>18736.11</v>
      </c>
    </row>
    <row r="959" spans="1:17" ht="12">
      <c r="A959" s="11">
        <v>57</v>
      </c>
      <c r="B959" s="43">
        <v>100</v>
      </c>
      <c r="C959" s="39" t="s">
        <v>148</v>
      </c>
      <c r="D959" s="38" t="s">
        <v>149</v>
      </c>
      <c r="E959" s="10" t="s">
        <v>21</v>
      </c>
      <c r="F959" s="10">
        <v>578.14</v>
      </c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29">
        <f aca="true" t="shared" si="336" ref="Q959:Q974">SUM(F959:P959)</f>
        <v>578.14</v>
      </c>
    </row>
    <row r="960" spans="1:17" ht="12">
      <c r="A960" s="11"/>
      <c r="B960" s="43"/>
      <c r="C960" s="39"/>
      <c r="D960" s="10"/>
      <c r="E960" s="10" t="s">
        <v>22</v>
      </c>
      <c r="F960" s="10">
        <v>1732.87</v>
      </c>
      <c r="G960" s="10"/>
      <c r="H960" s="10">
        <v>240</v>
      </c>
      <c r="I960" s="10"/>
      <c r="J960" s="10"/>
      <c r="K960" s="10"/>
      <c r="L960" s="10"/>
      <c r="M960" s="10"/>
      <c r="N960" s="10"/>
      <c r="O960" s="10"/>
      <c r="P960" s="10"/>
      <c r="Q960" s="29">
        <f t="shared" si="336"/>
        <v>1972.87</v>
      </c>
    </row>
    <row r="961" spans="1:17" ht="12">
      <c r="A961" s="11"/>
      <c r="B961" s="43"/>
      <c r="C961" s="39"/>
      <c r="D961" s="10"/>
      <c r="E961" s="10" t="s">
        <v>23</v>
      </c>
      <c r="F961" s="10">
        <v>206.97</v>
      </c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29">
        <f t="shared" si="336"/>
        <v>206.97</v>
      </c>
    </row>
    <row r="962" spans="1:17" ht="12">
      <c r="A962" s="11"/>
      <c r="B962" s="43"/>
      <c r="C962" s="39"/>
      <c r="D962" s="10"/>
      <c r="E962" s="14" t="s">
        <v>24</v>
      </c>
      <c r="F962" s="14">
        <f aca="true" t="shared" si="337" ref="F962:P962">SUM(F959:F961)</f>
        <v>2517.9799999999996</v>
      </c>
      <c r="G962" s="14">
        <f t="shared" si="337"/>
        <v>0</v>
      </c>
      <c r="H962" s="14">
        <f t="shared" si="337"/>
        <v>240</v>
      </c>
      <c r="I962" s="14">
        <f t="shared" si="337"/>
        <v>0</v>
      </c>
      <c r="J962" s="14">
        <f t="shared" si="337"/>
        <v>0</v>
      </c>
      <c r="K962" s="14">
        <f t="shared" si="337"/>
        <v>0</v>
      </c>
      <c r="L962" s="14">
        <f t="shared" si="337"/>
        <v>0</v>
      </c>
      <c r="M962" s="14">
        <f t="shared" si="337"/>
        <v>0</v>
      </c>
      <c r="N962" s="14">
        <f t="shared" si="337"/>
        <v>0</v>
      </c>
      <c r="O962" s="14">
        <f t="shared" si="337"/>
        <v>0</v>
      </c>
      <c r="P962" s="14">
        <f t="shared" si="337"/>
        <v>0</v>
      </c>
      <c r="Q962" s="55">
        <f t="shared" si="336"/>
        <v>2757.9799999999996</v>
      </c>
    </row>
    <row r="963" spans="1:17" ht="12">
      <c r="A963" s="11"/>
      <c r="B963" s="43"/>
      <c r="C963" s="39"/>
      <c r="D963" s="10"/>
      <c r="E963" s="10" t="s">
        <v>25</v>
      </c>
      <c r="F963" s="10">
        <v>353.75</v>
      </c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29">
        <f t="shared" si="336"/>
        <v>353.75</v>
      </c>
    </row>
    <row r="964" spans="1:17" ht="12">
      <c r="A964" s="11"/>
      <c r="B964" s="43"/>
      <c r="C964" s="39"/>
      <c r="D964" s="10"/>
      <c r="E964" s="10" t="s">
        <v>26</v>
      </c>
      <c r="F964" s="10">
        <v>896.48</v>
      </c>
      <c r="G964" s="10"/>
      <c r="H964" s="10">
        <v>120</v>
      </c>
      <c r="I964" s="10"/>
      <c r="J964" s="10"/>
      <c r="K964" s="10"/>
      <c r="L964" s="10"/>
      <c r="M964" s="10"/>
      <c r="N964" s="10"/>
      <c r="O964" s="10"/>
      <c r="P964" s="10"/>
      <c r="Q964" s="29">
        <f t="shared" si="336"/>
        <v>1016.48</v>
      </c>
    </row>
    <row r="965" spans="1:17" ht="12">
      <c r="A965" s="11"/>
      <c r="B965" s="43"/>
      <c r="C965" s="39"/>
      <c r="D965" s="10"/>
      <c r="E965" s="10" t="s">
        <v>27</v>
      </c>
      <c r="F965" s="10">
        <v>1155.41</v>
      </c>
      <c r="G965" s="10"/>
      <c r="H965" s="10">
        <v>120</v>
      </c>
      <c r="I965" s="10"/>
      <c r="J965" s="10"/>
      <c r="K965" s="10"/>
      <c r="L965" s="10"/>
      <c r="M965" s="10"/>
      <c r="N965" s="10"/>
      <c r="O965" s="10"/>
      <c r="P965" s="10"/>
      <c r="Q965" s="29">
        <f t="shared" si="336"/>
        <v>1275.41</v>
      </c>
    </row>
    <row r="966" spans="1:17" ht="12">
      <c r="A966" s="11"/>
      <c r="B966" s="43"/>
      <c r="C966" s="39"/>
      <c r="D966" s="10"/>
      <c r="E966" s="14" t="s">
        <v>28</v>
      </c>
      <c r="F966" s="14">
        <f aca="true" t="shared" si="338" ref="F966:P966">SUM(F963:F965)</f>
        <v>2405.6400000000003</v>
      </c>
      <c r="G966" s="14">
        <f t="shared" si="338"/>
        <v>0</v>
      </c>
      <c r="H966" s="14">
        <f t="shared" si="338"/>
        <v>240</v>
      </c>
      <c r="I966" s="14">
        <f t="shared" si="338"/>
        <v>0</v>
      </c>
      <c r="J966" s="14">
        <f t="shared" si="338"/>
        <v>0</v>
      </c>
      <c r="K966" s="14">
        <f t="shared" si="338"/>
        <v>0</v>
      </c>
      <c r="L966" s="14">
        <f t="shared" si="338"/>
        <v>0</v>
      </c>
      <c r="M966" s="14">
        <f t="shared" si="338"/>
        <v>0</v>
      </c>
      <c r="N966" s="14">
        <f t="shared" si="338"/>
        <v>0</v>
      </c>
      <c r="O966" s="14">
        <f t="shared" si="338"/>
        <v>0</v>
      </c>
      <c r="P966" s="14">
        <f t="shared" si="338"/>
        <v>0</v>
      </c>
      <c r="Q966" s="55">
        <f t="shared" si="336"/>
        <v>2645.6400000000003</v>
      </c>
    </row>
    <row r="967" spans="1:17" ht="12.75">
      <c r="A967" s="11"/>
      <c r="B967" s="43"/>
      <c r="C967" s="39"/>
      <c r="D967" s="10"/>
      <c r="E967" s="10" t="s">
        <v>29</v>
      </c>
      <c r="F967" s="10">
        <v>918.65</v>
      </c>
      <c r="G967" s="10"/>
      <c r="H967" s="10"/>
      <c r="I967" s="10"/>
      <c r="J967" s="10"/>
      <c r="K967" s="17"/>
      <c r="L967" s="10"/>
      <c r="M967" s="10"/>
      <c r="N967" s="10"/>
      <c r="O967" s="10"/>
      <c r="P967" s="10"/>
      <c r="Q967" s="29">
        <f t="shared" si="336"/>
        <v>918.65</v>
      </c>
    </row>
    <row r="968" spans="1:17" ht="12.75">
      <c r="A968" s="11"/>
      <c r="B968" s="43"/>
      <c r="C968" s="39"/>
      <c r="D968" s="10"/>
      <c r="E968" s="10" t="s">
        <v>30</v>
      </c>
      <c r="F968" s="10">
        <v>1036.61</v>
      </c>
      <c r="G968" s="10"/>
      <c r="H968" s="17">
        <v>120</v>
      </c>
      <c r="I968" s="10"/>
      <c r="J968" s="10"/>
      <c r="K968" s="17">
        <v>2347.46</v>
      </c>
      <c r="L968" s="10"/>
      <c r="M968" s="10"/>
      <c r="N968" s="10"/>
      <c r="O968" s="10"/>
      <c r="P968" s="10"/>
      <c r="Q968" s="29">
        <f t="shared" si="336"/>
        <v>3504.0699999999997</v>
      </c>
    </row>
    <row r="969" spans="1:17" ht="12.75">
      <c r="A969" s="11"/>
      <c r="B969" s="43"/>
      <c r="C969" s="39"/>
      <c r="D969" s="10"/>
      <c r="E969" s="10" t="s">
        <v>31</v>
      </c>
      <c r="F969" s="10">
        <v>889.28</v>
      </c>
      <c r="G969" s="10"/>
      <c r="H969" s="17">
        <v>120</v>
      </c>
      <c r="I969" s="10"/>
      <c r="J969" s="10"/>
      <c r="K969" s="10"/>
      <c r="L969" s="10"/>
      <c r="M969" s="10"/>
      <c r="N969" s="10"/>
      <c r="O969" s="10"/>
      <c r="P969" s="10"/>
      <c r="Q969" s="29">
        <f t="shared" si="336"/>
        <v>1009.28</v>
      </c>
    </row>
    <row r="970" spans="1:17" ht="12">
      <c r="A970" s="11"/>
      <c r="B970" s="43"/>
      <c r="C970" s="39"/>
      <c r="D970" s="10"/>
      <c r="E970" s="14" t="s">
        <v>32</v>
      </c>
      <c r="F970" s="14">
        <f aca="true" t="shared" si="339" ref="F970:P970">SUM(F967:F969)</f>
        <v>2844.54</v>
      </c>
      <c r="G970" s="14">
        <f t="shared" si="339"/>
        <v>0</v>
      </c>
      <c r="H970" s="14">
        <f t="shared" si="339"/>
        <v>240</v>
      </c>
      <c r="I970" s="14">
        <f t="shared" si="339"/>
        <v>0</v>
      </c>
      <c r="J970" s="14">
        <f t="shared" si="339"/>
        <v>0</v>
      </c>
      <c r="K970" s="14">
        <f t="shared" si="339"/>
        <v>2347.46</v>
      </c>
      <c r="L970" s="14">
        <f t="shared" si="339"/>
        <v>0</v>
      </c>
      <c r="M970" s="14">
        <f t="shared" si="339"/>
        <v>0</v>
      </c>
      <c r="N970" s="14">
        <f t="shared" si="339"/>
        <v>0</v>
      </c>
      <c r="O970" s="14">
        <f t="shared" si="339"/>
        <v>0</v>
      </c>
      <c r="P970" s="14">
        <f t="shared" si="339"/>
        <v>0</v>
      </c>
      <c r="Q970" s="55">
        <f t="shared" si="336"/>
        <v>5432</v>
      </c>
    </row>
    <row r="971" spans="1:17" ht="12.75">
      <c r="A971" s="11"/>
      <c r="B971" s="43"/>
      <c r="C971" s="39"/>
      <c r="D971" s="10"/>
      <c r="E971" s="10" t="s">
        <v>33</v>
      </c>
      <c r="F971" s="17">
        <v>779.25</v>
      </c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29">
        <f t="shared" si="336"/>
        <v>779.25</v>
      </c>
    </row>
    <row r="972" spans="1:17" ht="12.75">
      <c r="A972" s="11"/>
      <c r="B972" s="43"/>
      <c r="C972" s="39"/>
      <c r="D972" s="10"/>
      <c r="E972" s="10" t="s">
        <v>34</v>
      </c>
      <c r="F972" s="10">
        <v>1056.61</v>
      </c>
      <c r="G972" s="10"/>
      <c r="H972" s="17">
        <v>120</v>
      </c>
      <c r="I972" s="10"/>
      <c r="J972" s="10"/>
      <c r="K972" s="10"/>
      <c r="L972" s="10"/>
      <c r="M972" s="10"/>
      <c r="N972" s="10"/>
      <c r="O972" s="10"/>
      <c r="P972" s="10"/>
      <c r="Q972" s="29">
        <f t="shared" si="336"/>
        <v>1176.61</v>
      </c>
    </row>
    <row r="973" spans="1:17" ht="12">
      <c r="A973" s="11"/>
      <c r="B973" s="43"/>
      <c r="C973" s="39"/>
      <c r="D973" s="10"/>
      <c r="E973" s="10" t="s">
        <v>35</v>
      </c>
      <c r="F973" s="10">
        <v>491.22</v>
      </c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29">
        <f t="shared" si="336"/>
        <v>491.22</v>
      </c>
    </row>
    <row r="974" spans="1:17" ht="12">
      <c r="A974" s="11"/>
      <c r="B974" s="43"/>
      <c r="C974" s="39"/>
      <c r="D974" s="10"/>
      <c r="E974" s="14" t="s">
        <v>36</v>
      </c>
      <c r="F974" s="14">
        <f aca="true" t="shared" si="340" ref="F974:P974">SUM(F971:F973)</f>
        <v>2327.08</v>
      </c>
      <c r="G974" s="14">
        <f t="shared" si="340"/>
        <v>0</v>
      </c>
      <c r="H974" s="14">
        <f t="shared" si="340"/>
        <v>120</v>
      </c>
      <c r="I974" s="14">
        <f t="shared" si="340"/>
        <v>0</v>
      </c>
      <c r="J974" s="14">
        <f t="shared" si="340"/>
        <v>0</v>
      </c>
      <c r="K974" s="14">
        <f t="shared" si="340"/>
        <v>0</v>
      </c>
      <c r="L974" s="14">
        <f t="shared" si="340"/>
        <v>0</v>
      </c>
      <c r="M974" s="14">
        <f t="shared" si="340"/>
        <v>0</v>
      </c>
      <c r="N974" s="14">
        <f t="shared" si="340"/>
        <v>0</v>
      </c>
      <c r="O974" s="14">
        <f t="shared" si="340"/>
        <v>0</v>
      </c>
      <c r="P974" s="14">
        <f t="shared" si="340"/>
        <v>0</v>
      </c>
      <c r="Q974" s="55">
        <f t="shared" si="336"/>
        <v>2447.08</v>
      </c>
    </row>
    <row r="975" spans="1:17" ht="12.75" thickBot="1">
      <c r="A975" s="11"/>
      <c r="B975" s="43"/>
      <c r="C975" s="39"/>
      <c r="D975" s="10"/>
      <c r="E975" s="22" t="s">
        <v>37</v>
      </c>
      <c r="F975" s="22">
        <f aca="true" t="shared" si="341" ref="F975:Q975">F962+F966+F970+F974</f>
        <v>10095.24</v>
      </c>
      <c r="G975" s="22">
        <f t="shared" si="341"/>
        <v>0</v>
      </c>
      <c r="H975" s="22">
        <f t="shared" si="341"/>
        <v>840</v>
      </c>
      <c r="I975" s="22">
        <f t="shared" si="341"/>
        <v>0</v>
      </c>
      <c r="J975" s="22">
        <f t="shared" si="341"/>
        <v>0</v>
      </c>
      <c r="K975" s="22">
        <f t="shared" si="341"/>
        <v>2347.46</v>
      </c>
      <c r="L975" s="22">
        <f t="shared" si="341"/>
        <v>0</v>
      </c>
      <c r="M975" s="22">
        <f t="shared" si="341"/>
        <v>0</v>
      </c>
      <c r="N975" s="22">
        <f t="shared" si="341"/>
        <v>0</v>
      </c>
      <c r="O975" s="22">
        <f t="shared" si="341"/>
        <v>0</v>
      </c>
      <c r="P975" s="35">
        <f t="shared" si="341"/>
        <v>0</v>
      </c>
      <c r="Q975" s="23">
        <f t="shared" si="341"/>
        <v>13282.699999999999</v>
      </c>
    </row>
    <row r="976" spans="1:17" ht="12">
      <c r="A976" s="11">
        <v>58</v>
      </c>
      <c r="B976" s="43">
        <v>101</v>
      </c>
      <c r="C976" s="39" t="s">
        <v>150</v>
      </c>
      <c r="D976" s="38" t="s">
        <v>151</v>
      </c>
      <c r="E976" s="10" t="s">
        <v>21</v>
      </c>
      <c r="F976" s="10">
        <v>248.97</v>
      </c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29">
        <f aca="true" t="shared" si="342" ref="Q976:Q991">SUM(F976:P976)</f>
        <v>248.97</v>
      </c>
    </row>
    <row r="977" spans="1:17" ht="12">
      <c r="A977" s="11"/>
      <c r="B977" s="43"/>
      <c r="C977" s="39"/>
      <c r="D977" s="10"/>
      <c r="E977" s="10" t="s">
        <v>22</v>
      </c>
      <c r="F977" s="10">
        <v>285.46</v>
      </c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29">
        <f t="shared" si="342"/>
        <v>285.46</v>
      </c>
    </row>
    <row r="978" spans="1:17" ht="12">
      <c r="A978" s="11"/>
      <c r="B978" s="43"/>
      <c r="C978" s="39"/>
      <c r="D978" s="10"/>
      <c r="E978" s="10" t="s">
        <v>23</v>
      </c>
      <c r="F978" s="15">
        <f>686.24-686.24</f>
        <v>0</v>
      </c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29">
        <f t="shared" si="342"/>
        <v>0</v>
      </c>
    </row>
    <row r="979" spans="1:17" ht="12">
      <c r="A979" s="11"/>
      <c r="B979" s="43"/>
      <c r="C979" s="39"/>
      <c r="D979" s="10"/>
      <c r="E979" s="14" t="s">
        <v>24</v>
      </c>
      <c r="F979" s="14">
        <f aca="true" t="shared" si="343" ref="F979:P979">SUM(F976:F978)</f>
        <v>534.43</v>
      </c>
      <c r="G979" s="14">
        <f t="shared" si="343"/>
        <v>0</v>
      </c>
      <c r="H979" s="14">
        <f t="shared" si="343"/>
        <v>0</v>
      </c>
      <c r="I979" s="14">
        <f t="shared" si="343"/>
        <v>0</v>
      </c>
      <c r="J979" s="14">
        <f t="shared" si="343"/>
        <v>0</v>
      </c>
      <c r="K979" s="14">
        <f t="shared" si="343"/>
        <v>0</v>
      </c>
      <c r="L979" s="14">
        <f t="shared" si="343"/>
        <v>0</v>
      </c>
      <c r="M979" s="14">
        <f t="shared" si="343"/>
        <v>0</v>
      </c>
      <c r="N979" s="14">
        <f t="shared" si="343"/>
        <v>0</v>
      </c>
      <c r="O979" s="14">
        <f t="shared" si="343"/>
        <v>0</v>
      </c>
      <c r="P979" s="14">
        <f t="shared" si="343"/>
        <v>0</v>
      </c>
      <c r="Q979" s="55">
        <f t="shared" si="342"/>
        <v>534.43</v>
      </c>
    </row>
    <row r="980" spans="1:17" ht="12">
      <c r="A980" s="11"/>
      <c r="B980" s="43"/>
      <c r="C980" s="39"/>
      <c r="D980" s="10"/>
      <c r="E980" s="10" t="s">
        <v>25</v>
      </c>
      <c r="F980" s="10">
        <f>686.24+1334.62</f>
        <v>2020.86</v>
      </c>
      <c r="G980" s="10"/>
      <c r="H980" s="10">
        <v>120</v>
      </c>
      <c r="I980" s="10"/>
      <c r="J980" s="10"/>
      <c r="K980" s="10"/>
      <c r="L980" s="10"/>
      <c r="M980" s="10"/>
      <c r="N980" s="10"/>
      <c r="O980" s="10"/>
      <c r="P980" s="10"/>
      <c r="Q980" s="29">
        <f t="shared" si="342"/>
        <v>2140.8599999999997</v>
      </c>
    </row>
    <row r="981" spans="1:17" ht="12">
      <c r="A981" s="11"/>
      <c r="B981" s="43"/>
      <c r="C981" s="39"/>
      <c r="D981" s="10"/>
      <c r="E981" s="10" t="s">
        <v>26</v>
      </c>
      <c r="F981" s="10">
        <v>252.48</v>
      </c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29">
        <f t="shared" si="342"/>
        <v>252.48</v>
      </c>
    </row>
    <row r="982" spans="1:17" ht="12">
      <c r="A982" s="11"/>
      <c r="B982" s="43"/>
      <c r="C982" s="39"/>
      <c r="D982" s="10"/>
      <c r="E982" s="10" t="s">
        <v>27</v>
      </c>
      <c r="F982" s="10">
        <v>635.26</v>
      </c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29">
        <f t="shared" si="342"/>
        <v>635.26</v>
      </c>
    </row>
    <row r="983" spans="1:17" ht="12">
      <c r="A983" s="11"/>
      <c r="B983" s="43"/>
      <c r="C983" s="39"/>
      <c r="D983" s="10"/>
      <c r="E983" s="14" t="s">
        <v>28</v>
      </c>
      <c r="F983" s="14">
        <f aca="true" t="shared" si="344" ref="F983:P983">SUM(F980:F982)</f>
        <v>2908.5999999999995</v>
      </c>
      <c r="G983" s="14">
        <f t="shared" si="344"/>
        <v>0</v>
      </c>
      <c r="H983" s="14">
        <f t="shared" si="344"/>
        <v>120</v>
      </c>
      <c r="I983" s="14">
        <f t="shared" si="344"/>
        <v>0</v>
      </c>
      <c r="J983" s="14">
        <f t="shared" si="344"/>
        <v>0</v>
      </c>
      <c r="K983" s="14">
        <f t="shared" si="344"/>
        <v>0</v>
      </c>
      <c r="L983" s="14">
        <f t="shared" si="344"/>
        <v>0</v>
      </c>
      <c r="M983" s="14">
        <f t="shared" si="344"/>
        <v>0</v>
      </c>
      <c r="N983" s="14">
        <f t="shared" si="344"/>
        <v>0</v>
      </c>
      <c r="O983" s="14">
        <f t="shared" si="344"/>
        <v>0</v>
      </c>
      <c r="P983" s="14">
        <f t="shared" si="344"/>
        <v>0</v>
      </c>
      <c r="Q983" s="55">
        <f t="shared" si="342"/>
        <v>3028.5999999999995</v>
      </c>
    </row>
    <row r="984" spans="1:17" ht="12">
      <c r="A984" s="11"/>
      <c r="B984" s="43"/>
      <c r="C984" s="39"/>
      <c r="D984" s="10"/>
      <c r="E984" s="10" t="s">
        <v>29</v>
      </c>
      <c r="F984" s="10">
        <v>1121.91</v>
      </c>
      <c r="G984" s="10"/>
      <c r="H984" s="10">
        <v>120</v>
      </c>
      <c r="I984" s="10"/>
      <c r="J984" s="10"/>
      <c r="K984" s="10"/>
      <c r="L984" s="10"/>
      <c r="M984" s="10"/>
      <c r="N984" s="10"/>
      <c r="O984" s="10"/>
      <c r="P984" s="10"/>
      <c r="Q984" s="29">
        <f t="shared" si="342"/>
        <v>1241.91</v>
      </c>
    </row>
    <row r="985" spans="1:17" ht="12">
      <c r="A985" s="11"/>
      <c r="B985" s="43"/>
      <c r="C985" s="39"/>
      <c r="D985" s="10"/>
      <c r="E985" s="10" t="s">
        <v>30</v>
      </c>
      <c r="F985" s="10">
        <v>286.76</v>
      </c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29">
        <f t="shared" si="342"/>
        <v>286.76</v>
      </c>
    </row>
    <row r="986" spans="1:17" ht="12">
      <c r="A986" s="11"/>
      <c r="B986" s="43"/>
      <c r="C986" s="39"/>
      <c r="D986" s="10"/>
      <c r="E986" s="10" t="s">
        <v>31</v>
      </c>
      <c r="F986" s="10">
        <v>813.63</v>
      </c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29">
        <f t="shared" si="342"/>
        <v>813.63</v>
      </c>
    </row>
    <row r="987" spans="1:17" ht="12">
      <c r="A987" s="11"/>
      <c r="B987" s="43"/>
      <c r="C987" s="39"/>
      <c r="D987" s="10"/>
      <c r="E987" s="14" t="s">
        <v>32</v>
      </c>
      <c r="F987" s="14">
        <f aca="true" t="shared" si="345" ref="F987:P987">SUM(F984:F986)</f>
        <v>2222.3</v>
      </c>
      <c r="G987" s="14">
        <f t="shared" si="345"/>
        <v>0</v>
      </c>
      <c r="H987" s="14">
        <f t="shared" si="345"/>
        <v>120</v>
      </c>
      <c r="I987" s="14">
        <f t="shared" si="345"/>
        <v>0</v>
      </c>
      <c r="J987" s="14">
        <f t="shared" si="345"/>
        <v>0</v>
      </c>
      <c r="K987" s="14">
        <f t="shared" si="345"/>
        <v>0</v>
      </c>
      <c r="L987" s="14">
        <f t="shared" si="345"/>
        <v>0</v>
      </c>
      <c r="M987" s="14">
        <f t="shared" si="345"/>
        <v>0</v>
      </c>
      <c r="N987" s="14">
        <f t="shared" si="345"/>
        <v>0</v>
      </c>
      <c r="O987" s="14">
        <f t="shared" si="345"/>
        <v>0</v>
      </c>
      <c r="P987" s="14">
        <f t="shared" si="345"/>
        <v>0</v>
      </c>
      <c r="Q987" s="55">
        <f t="shared" si="342"/>
        <v>2342.3</v>
      </c>
    </row>
    <row r="988" spans="1:17" ht="12.75">
      <c r="A988" s="11"/>
      <c r="B988" s="43"/>
      <c r="C988" s="39"/>
      <c r="D988" s="10"/>
      <c r="E988" s="10" t="s">
        <v>33</v>
      </c>
      <c r="F988" s="10">
        <v>1391.54</v>
      </c>
      <c r="G988" s="10"/>
      <c r="H988" s="17">
        <v>120</v>
      </c>
      <c r="I988" s="10"/>
      <c r="J988" s="10"/>
      <c r="K988" s="10"/>
      <c r="L988" s="10"/>
      <c r="M988" s="10"/>
      <c r="N988" s="10"/>
      <c r="O988" s="10"/>
      <c r="P988" s="10"/>
      <c r="Q988" s="29">
        <f t="shared" si="342"/>
        <v>1511.54</v>
      </c>
    </row>
    <row r="989" spans="1:17" ht="12.75">
      <c r="A989" s="11"/>
      <c r="B989" s="43"/>
      <c r="C989" s="39"/>
      <c r="D989" s="10"/>
      <c r="E989" s="10" t="s">
        <v>34</v>
      </c>
      <c r="F989" s="17">
        <v>450.88</v>
      </c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29">
        <f t="shared" si="342"/>
        <v>450.88</v>
      </c>
    </row>
    <row r="990" spans="1:17" ht="12">
      <c r="A990" s="11"/>
      <c r="B990" s="43"/>
      <c r="C990" s="39"/>
      <c r="D990" s="10"/>
      <c r="E990" s="10" t="s">
        <v>35</v>
      </c>
      <c r="F990" s="10">
        <v>406.75</v>
      </c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29">
        <f t="shared" si="342"/>
        <v>406.75</v>
      </c>
    </row>
    <row r="991" spans="1:17" ht="12">
      <c r="A991" s="11"/>
      <c r="B991" s="43"/>
      <c r="C991" s="39"/>
      <c r="D991" s="10"/>
      <c r="E991" s="14" t="s">
        <v>36</v>
      </c>
      <c r="F991" s="14">
        <f aca="true" t="shared" si="346" ref="F991:P991">SUM(F988:F990)</f>
        <v>2249.17</v>
      </c>
      <c r="G991" s="14">
        <f t="shared" si="346"/>
        <v>0</v>
      </c>
      <c r="H991" s="14">
        <f t="shared" si="346"/>
        <v>120</v>
      </c>
      <c r="I991" s="14">
        <f t="shared" si="346"/>
        <v>0</v>
      </c>
      <c r="J991" s="14">
        <f t="shared" si="346"/>
        <v>0</v>
      </c>
      <c r="K991" s="14">
        <f t="shared" si="346"/>
        <v>0</v>
      </c>
      <c r="L991" s="14">
        <f t="shared" si="346"/>
        <v>0</v>
      </c>
      <c r="M991" s="14">
        <f t="shared" si="346"/>
        <v>0</v>
      </c>
      <c r="N991" s="14">
        <f t="shared" si="346"/>
        <v>0</v>
      </c>
      <c r="O991" s="14">
        <f t="shared" si="346"/>
        <v>0</v>
      </c>
      <c r="P991" s="14">
        <f t="shared" si="346"/>
        <v>0</v>
      </c>
      <c r="Q991" s="55">
        <f t="shared" si="342"/>
        <v>2369.17</v>
      </c>
    </row>
    <row r="992" spans="1:17" ht="12.75" thickBot="1">
      <c r="A992" s="11"/>
      <c r="B992" s="43"/>
      <c r="C992" s="39"/>
      <c r="D992" s="44"/>
      <c r="E992" s="22" t="s">
        <v>37</v>
      </c>
      <c r="F992" s="22">
        <f aca="true" t="shared" si="347" ref="F992:Q992">F979+F983+F987+F991</f>
        <v>7914.5</v>
      </c>
      <c r="G992" s="22">
        <f t="shared" si="347"/>
        <v>0</v>
      </c>
      <c r="H992" s="22">
        <f t="shared" si="347"/>
        <v>360</v>
      </c>
      <c r="I992" s="22">
        <f t="shared" si="347"/>
        <v>0</v>
      </c>
      <c r="J992" s="22">
        <f t="shared" si="347"/>
        <v>0</v>
      </c>
      <c r="K992" s="22">
        <f t="shared" si="347"/>
        <v>0</v>
      </c>
      <c r="L992" s="22">
        <f t="shared" si="347"/>
        <v>0</v>
      </c>
      <c r="M992" s="22">
        <f t="shared" si="347"/>
        <v>0</v>
      </c>
      <c r="N992" s="22">
        <f t="shared" si="347"/>
        <v>0</v>
      </c>
      <c r="O992" s="22">
        <f t="shared" si="347"/>
        <v>0</v>
      </c>
      <c r="P992" s="35">
        <f t="shared" si="347"/>
        <v>0</v>
      </c>
      <c r="Q992" s="23">
        <f t="shared" si="347"/>
        <v>8274.5</v>
      </c>
    </row>
    <row r="993" spans="1:17" ht="12">
      <c r="A993" s="11">
        <v>59</v>
      </c>
      <c r="B993" s="43">
        <v>102</v>
      </c>
      <c r="C993" s="39" t="s">
        <v>152</v>
      </c>
      <c r="D993" s="38" t="s">
        <v>153</v>
      </c>
      <c r="E993" s="10" t="s">
        <v>21</v>
      </c>
      <c r="F993" s="10">
        <v>8086.53</v>
      </c>
      <c r="G993" s="10"/>
      <c r="H993" s="10">
        <v>480</v>
      </c>
      <c r="I993" s="10"/>
      <c r="J993" s="10"/>
      <c r="K993" s="10">
        <v>155.14</v>
      </c>
      <c r="L993" s="10"/>
      <c r="M993" s="10"/>
      <c r="N993" s="10"/>
      <c r="O993" s="10"/>
      <c r="P993" s="10"/>
      <c r="Q993" s="29">
        <f aca="true" t="shared" si="348" ref="Q993:Q1008">SUM(F993:P993)</f>
        <v>8721.669999999998</v>
      </c>
    </row>
    <row r="994" spans="1:17" ht="12">
      <c r="A994" s="11"/>
      <c r="B994" s="43"/>
      <c r="C994" s="39"/>
      <c r="D994" s="10"/>
      <c r="E994" s="10" t="s">
        <v>22</v>
      </c>
      <c r="F994" s="10">
        <v>14110.92</v>
      </c>
      <c r="G994" s="10"/>
      <c r="H994" s="10">
        <v>1440</v>
      </c>
      <c r="I994" s="10"/>
      <c r="J994" s="10"/>
      <c r="K994" s="10"/>
      <c r="L994" s="10"/>
      <c r="M994" s="10"/>
      <c r="N994" s="10"/>
      <c r="O994" s="10"/>
      <c r="P994" s="10"/>
      <c r="Q994" s="29">
        <f t="shared" si="348"/>
        <v>15550.92</v>
      </c>
    </row>
    <row r="995" spans="1:17" ht="12">
      <c r="A995" s="11"/>
      <c r="B995" s="43"/>
      <c r="C995" s="39"/>
      <c r="D995" s="10"/>
      <c r="E995" s="10" t="s">
        <v>23</v>
      </c>
      <c r="F995" s="10">
        <v>16004.5</v>
      </c>
      <c r="G995" s="10"/>
      <c r="H995" s="10">
        <v>1800</v>
      </c>
      <c r="I995" s="10"/>
      <c r="J995" s="10"/>
      <c r="K995" s="15">
        <f>155.14-155.14</f>
        <v>0</v>
      </c>
      <c r="L995" s="10"/>
      <c r="M995" s="10"/>
      <c r="N995" s="10"/>
      <c r="O995" s="10"/>
      <c r="P995" s="10"/>
      <c r="Q995" s="29">
        <f t="shared" si="348"/>
        <v>17804.5</v>
      </c>
    </row>
    <row r="996" spans="1:17" ht="12">
      <c r="A996" s="11"/>
      <c r="B996" s="43"/>
      <c r="C996" s="39"/>
      <c r="D996" s="10"/>
      <c r="E996" s="14" t="s">
        <v>24</v>
      </c>
      <c r="F996" s="14">
        <f aca="true" t="shared" si="349" ref="F996:P996">SUM(F993:F995)</f>
        <v>38201.95</v>
      </c>
      <c r="G996" s="14">
        <f t="shared" si="349"/>
        <v>0</v>
      </c>
      <c r="H996" s="14">
        <f t="shared" si="349"/>
        <v>3720</v>
      </c>
      <c r="I996" s="14">
        <f t="shared" si="349"/>
        <v>0</v>
      </c>
      <c r="J996" s="14">
        <f t="shared" si="349"/>
        <v>0</v>
      </c>
      <c r="K996" s="14">
        <f t="shared" si="349"/>
        <v>155.14</v>
      </c>
      <c r="L996" s="14">
        <f t="shared" si="349"/>
        <v>0</v>
      </c>
      <c r="M996" s="14">
        <f t="shared" si="349"/>
        <v>0</v>
      </c>
      <c r="N996" s="14">
        <f t="shared" si="349"/>
        <v>0</v>
      </c>
      <c r="O996" s="14">
        <f t="shared" si="349"/>
        <v>0</v>
      </c>
      <c r="P996" s="14">
        <f t="shared" si="349"/>
        <v>0</v>
      </c>
      <c r="Q996" s="55">
        <f t="shared" si="348"/>
        <v>42077.09</v>
      </c>
    </row>
    <row r="997" spans="1:17" ht="12">
      <c r="A997" s="11"/>
      <c r="B997" s="43"/>
      <c r="C997" s="39"/>
      <c r="D997" s="10"/>
      <c r="E997" s="10" t="s">
        <v>25</v>
      </c>
      <c r="F997" s="10">
        <v>10562.42</v>
      </c>
      <c r="G997" s="10"/>
      <c r="H997" s="10">
        <v>1080</v>
      </c>
      <c r="I997" s="10"/>
      <c r="J997" s="10"/>
      <c r="K997" s="10">
        <v>155.14</v>
      </c>
      <c r="L997" s="10"/>
      <c r="M997" s="10"/>
      <c r="N997" s="10"/>
      <c r="O997" s="10"/>
      <c r="P997" s="10"/>
      <c r="Q997" s="29">
        <f t="shared" si="348"/>
        <v>11797.56</v>
      </c>
    </row>
    <row r="998" spans="1:17" ht="12">
      <c r="A998" s="11"/>
      <c r="B998" s="43"/>
      <c r="C998" s="39"/>
      <c r="D998" s="10"/>
      <c r="E998" s="10" t="s">
        <v>26</v>
      </c>
      <c r="F998" s="10">
        <v>9219.07</v>
      </c>
      <c r="G998" s="10"/>
      <c r="H998" s="10">
        <v>720</v>
      </c>
      <c r="I998" s="10"/>
      <c r="J998" s="10"/>
      <c r="K998" s="10"/>
      <c r="L998" s="10"/>
      <c r="M998" s="10"/>
      <c r="N998" s="10"/>
      <c r="O998" s="10"/>
      <c r="P998" s="10"/>
      <c r="Q998" s="29">
        <f t="shared" si="348"/>
        <v>9939.07</v>
      </c>
    </row>
    <row r="999" spans="1:17" ht="12">
      <c r="A999" s="11"/>
      <c r="B999" s="43"/>
      <c r="C999" s="39"/>
      <c r="D999" s="10"/>
      <c r="E999" s="10" t="s">
        <v>27</v>
      </c>
      <c r="F999" s="10">
        <f>12690.69-12690.69</f>
        <v>0</v>
      </c>
      <c r="G999" s="10"/>
      <c r="H999" s="10">
        <v>1320</v>
      </c>
      <c r="I999" s="10"/>
      <c r="J999" s="10">
        <v>420</v>
      </c>
      <c r="K999" s="10">
        <v>155.14</v>
      </c>
      <c r="L999" s="10"/>
      <c r="M999" s="10"/>
      <c r="N999" s="10"/>
      <c r="O999" s="10"/>
      <c r="P999" s="10"/>
      <c r="Q999" s="29">
        <f t="shared" si="348"/>
        <v>1895.1399999999999</v>
      </c>
    </row>
    <row r="1000" spans="1:17" ht="12">
      <c r="A1000" s="11"/>
      <c r="B1000" s="43"/>
      <c r="C1000" s="39"/>
      <c r="D1000" s="10"/>
      <c r="E1000" s="14" t="s">
        <v>28</v>
      </c>
      <c r="F1000" s="14">
        <f aca="true" t="shared" si="350" ref="F1000:P1000">SUM(F997:F999)</f>
        <v>19781.489999999998</v>
      </c>
      <c r="G1000" s="14">
        <f t="shared" si="350"/>
        <v>0</v>
      </c>
      <c r="H1000" s="14">
        <f t="shared" si="350"/>
        <v>3120</v>
      </c>
      <c r="I1000" s="14">
        <f t="shared" si="350"/>
        <v>0</v>
      </c>
      <c r="J1000" s="14">
        <f t="shared" si="350"/>
        <v>420</v>
      </c>
      <c r="K1000" s="14">
        <f t="shared" si="350"/>
        <v>310.28</v>
      </c>
      <c r="L1000" s="14">
        <f t="shared" si="350"/>
        <v>0</v>
      </c>
      <c r="M1000" s="14">
        <f t="shared" si="350"/>
        <v>0</v>
      </c>
      <c r="N1000" s="14">
        <f t="shared" si="350"/>
        <v>0</v>
      </c>
      <c r="O1000" s="14">
        <f t="shared" si="350"/>
        <v>0</v>
      </c>
      <c r="P1000" s="14">
        <f t="shared" si="350"/>
        <v>0</v>
      </c>
      <c r="Q1000" s="55">
        <f t="shared" si="348"/>
        <v>23631.769999999997</v>
      </c>
    </row>
    <row r="1001" spans="1:17" ht="12">
      <c r="A1001" s="11"/>
      <c r="B1001" s="43"/>
      <c r="C1001" s="39"/>
      <c r="D1001" s="10"/>
      <c r="E1001" s="10" t="s">
        <v>29</v>
      </c>
      <c r="F1001" s="15">
        <f>12690.69+9486.39</f>
        <v>22177.08</v>
      </c>
      <c r="G1001" s="10"/>
      <c r="H1001" s="10">
        <v>480</v>
      </c>
      <c r="I1001" s="10"/>
      <c r="J1001" s="10"/>
      <c r="K1001" s="10"/>
      <c r="L1001" s="10"/>
      <c r="M1001" s="10"/>
      <c r="N1001" s="10"/>
      <c r="O1001" s="10"/>
      <c r="P1001" s="10"/>
      <c r="Q1001" s="29">
        <f t="shared" si="348"/>
        <v>22657.08</v>
      </c>
    </row>
    <row r="1002" spans="1:17" ht="12">
      <c r="A1002" s="11"/>
      <c r="B1002" s="43"/>
      <c r="C1002" s="39"/>
      <c r="D1002" s="10"/>
      <c r="E1002" s="10" t="s">
        <v>30</v>
      </c>
      <c r="F1002" s="10">
        <v>10587.69</v>
      </c>
      <c r="G1002" s="10"/>
      <c r="H1002" s="10">
        <v>600</v>
      </c>
      <c r="I1002" s="10"/>
      <c r="J1002" s="10"/>
      <c r="K1002" s="10"/>
      <c r="L1002" s="10"/>
      <c r="M1002" s="10"/>
      <c r="N1002" s="10"/>
      <c r="O1002" s="10"/>
      <c r="P1002" s="10"/>
      <c r="Q1002" s="29">
        <f t="shared" si="348"/>
        <v>11187.69</v>
      </c>
    </row>
    <row r="1003" spans="1:17" ht="12.75">
      <c r="A1003" s="11"/>
      <c r="B1003" s="43"/>
      <c r="C1003" s="39"/>
      <c r="D1003" s="10"/>
      <c r="E1003" s="10" t="s">
        <v>31</v>
      </c>
      <c r="F1003" s="10">
        <v>12862.52</v>
      </c>
      <c r="G1003" s="10"/>
      <c r="H1003" s="17">
        <v>1560</v>
      </c>
      <c r="I1003" s="10"/>
      <c r="J1003" s="17">
        <v>420</v>
      </c>
      <c r="K1003" s="17">
        <v>155.14</v>
      </c>
      <c r="L1003" s="10"/>
      <c r="M1003" s="10"/>
      <c r="N1003" s="10"/>
      <c r="O1003" s="10"/>
      <c r="P1003" s="10"/>
      <c r="Q1003" s="29">
        <f t="shared" si="348"/>
        <v>14997.66</v>
      </c>
    </row>
    <row r="1004" spans="1:17" ht="12">
      <c r="A1004" s="11"/>
      <c r="B1004" s="43"/>
      <c r="C1004" s="39"/>
      <c r="D1004" s="10"/>
      <c r="E1004" s="14" t="s">
        <v>32</v>
      </c>
      <c r="F1004" s="14">
        <f aca="true" t="shared" si="351" ref="F1004:P1004">SUM(F1001:F1003)</f>
        <v>45627.29000000001</v>
      </c>
      <c r="G1004" s="14">
        <f t="shared" si="351"/>
        <v>0</v>
      </c>
      <c r="H1004" s="14">
        <f t="shared" si="351"/>
        <v>2640</v>
      </c>
      <c r="I1004" s="14">
        <f t="shared" si="351"/>
        <v>0</v>
      </c>
      <c r="J1004" s="14">
        <f t="shared" si="351"/>
        <v>420</v>
      </c>
      <c r="K1004" s="14">
        <f t="shared" si="351"/>
        <v>155.14</v>
      </c>
      <c r="L1004" s="14">
        <f t="shared" si="351"/>
        <v>0</v>
      </c>
      <c r="M1004" s="14">
        <f t="shared" si="351"/>
        <v>0</v>
      </c>
      <c r="N1004" s="14">
        <f t="shared" si="351"/>
        <v>0</v>
      </c>
      <c r="O1004" s="14">
        <f t="shared" si="351"/>
        <v>0</v>
      </c>
      <c r="P1004" s="14">
        <f t="shared" si="351"/>
        <v>0</v>
      </c>
      <c r="Q1004" s="55">
        <f t="shared" si="348"/>
        <v>48842.43000000001</v>
      </c>
    </row>
    <row r="1005" spans="1:17" ht="12.75">
      <c r="A1005" s="11"/>
      <c r="B1005" s="43"/>
      <c r="C1005" s="39"/>
      <c r="D1005" s="10"/>
      <c r="E1005" s="10" t="s">
        <v>33</v>
      </c>
      <c r="F1005" s="10">
        <v>11633.35</v>
      </c>
      <c r="G1005" s="10"/>
      <c r="H1005" s="17">
        <v>840</v>
      </c>
      <c r="I1005" s="10"/>
      <c r="J1005" s="10"/>
      <c r="K1005" s="10"/>
      <c r="L1005" s="10"/>
      <c r="M1005" s="10"/>
      <c r="N1005" s="10"/>
      <c r="O1005" s="10"/>
      <c r="P1005" s="10"/>
      <c r="Q1005" s="29">
        <f t="shared" si="348"/>
        <v>12473.35</v>
      </c>
    </row>
    <row r="1006" spans="1:17" ht="12.75">
      <c r="A1006" s="11"/>
      <c r="B1006" s="43"/>
      <c r="C1006" s="39"/>
      <c r="D1006" s="10"/>
      <c r="E1006" s="10" t="s">
        <v>34</v>
      </c>
      <c r="F1006" s="10">
        <v>7930.889999999999</v>
      </c>
      <c r="G1006" s="10"/>
      <c r="H1006" s="10">
        <v>480</v>
      </c>
      <c r="I1006" s="10"/>
      <c r="J1006" s="10"/>
      <c r="K1006" s="17">
        <v>154.91</v>
      </c>
      <c r="L1006" s="10"/>
      <c r="M1006" s="10"/>
      <c r="N1006" s="10"/>
      <c r="O1006" s="10"/>
      <c r="P1006" s="10"/>
      <c r="Q1006" s="29">
        <f t="shared" si="348"/>
        <v>8565.8</v>
      </c>
    </row>
    <row r="1007" spans="1:17" ht="12.75">
      <c r="A1007" s="11"/>
      <c r="B1007" s="43"/>
      <c r="C1007" s="39"/>
      <c r="D1007" s="10"/>
      <c r="E1007" s="10" t="s">
        <v>35</v>
      </c>
      <c r="F1007" s="10">
        <v>12210</v>
      </c>
      <c r="G1007" s="10"/>
      <c r="H1007" s="18">
        <v>960</v>
      </c>
      <c r="I1007" s="10"/>
      <c r="J1007" s="18">
        <v>420</v>
      </c>
      <c r="K1007" s="10"/>
      <c r="L1007" s="10"/>
      <c r="M1007" s="10"/>
      <c r="N1007" s="10"/>
      <c r="O1007" s="10"/>
      <c r="P1007" s="10"/>
      <c r="Q1007" s="29">
        <f t="shared" si="348"/>
        <v>13590</v>
      </c>
    </row>
    <row r="1008" spans="1:17" ht="12">
      <c r="A1008" s="11"/>
      <c r="B1008" s="43"/>
      <c r="C1008" s="39"/>
      <c r="D1008" s="10"/>
      <c r="E1008" s="14" t="s">
        <v>36</v>
      </c>
      <c r="F1008" s="14">
        <f aca="true" t="shared" si="352" ref="F1008:P1008">SUM(F1005:F1007)</f>
        <v>31774.239999999998</v>
      </c>
      <c r="G1008" s="14">
        <f t="shared" si="352"/>
        <v>0</v>
      </c>
      <c r="H1008" s="14">
        <f t="shared" si="352"/>
        <v>2280</v>
      </c>
      <c r="I1008" s="14">
        <f t="shared" si="352"/>
        <v>0</v>
      </c>
      <c r="J1008" s="14">
        <f t="shared" si="352"/>
        <v>420</v>
      </c>
      <c r="K1008" s="14">
        <f t="shared" si="352"/>
        <v>154.91</v>
      </c>
      <c r="L1008" s="14">
        <f t="shared" si="352"/>
        <v>0</v>
      </c>
      <c r="M1008" s="14">
        <f t="shared" si="352"/>
        <v>0</v>
      </c>
      <c r="N1008" s="14">
        <f t="shared" si="352"/>
        <v>0</v>
      </c>
      <c r="O1008" s="14">
        <f t="shared" si="352"/>
        <v>0</v>
      </c>
      <c r="P1008" s="14">
        <f t="shared" si="352"/>
        <v>0</v>
      </c>
      <c r="Q1008" s="55">
        <f t="shared" si="348"/>
        <v>34629.15</v>
      </c>
    </row>
    <row r="1009" spans="1:17" ht="12.75" thickBot="1">
      <c r="A1009" s="11"/>
      <c r="B1009" s="43"/>
      <c r="C1009" s="39"/>
      <c r="D1009" s="10"/>
      <c r="E1009" s="22" t="s">
        <v>37</v>
      </c>
      <c r="F1009" s="22">
        <f aca="true" t="shared" si="353" ref="F1009:Q1009">F996+F1000+F1004+F1008</f>
        <v>135384.97</v>
      </c>
      <c r="G1009" s="22">
        <f t="shared" si="353"/>
        <v>0</v>
      </c>
      <c r="H1009" s="22">
        <f t="shared" si="353"/>
        <v>11760</v>
      </c>
      <c r="I1009" s="22">
        <f t="shared" si="353"/>
        <v>0</v>
      </c>
      <c r="J1009" s="22">
        <f t="shared" si="353"/>
        <v>1260</v>
      </c>
      <c r="K1009" s="22">
        <f t="shared" si="353"/>
        <v>775.4699999999999</v>
      </c>
      <c r="L1009" s="22">
        <f t="shared" si="353"/>
        <v>0</v>
      </c>
      <c r="M1009" s="22">
        <f t="shared" si="353"/>
        <v>0</v>
      </c>
      <c r="N1009" s="22">
        <f t="shared" si="353"/>
        <v>0</v>
      </c>
      <c r="O1009" s="22">
        <f t="shared" si="353"/>
        <v>0</v>
      </c>
      <c r="P1009" s="35">
        <f t="shared" si="353"/>
        <v>0</v>
      </c>
      <c r="Q1009" s="23">
        <f t="shared" si="353"/>
        <v>149180.44</v>
      </c>
    </row>
    <row r="1010" spans="1:17" ht="12">
      <c r="A1010" s="11">
        <v>60</v>
      </c>
      <c r="B1010" s="43">
        <v>105</v>
      </c>
      <c r="C1010" s="39" t="s">
        <v>154</v>
      </c>
      <c r="D1010" s="38" t="s">
        <v>155</v>
      </c>
      <c r="E1010" s="10" t="s">
        <v>21</v>
      </c>
      <c r="F1010" s="10">
        <v>1738.22</v>
      </c>
      <c r="G1010" s="10"/>
      <c r="H1010" s="10"/>
      <c r="I1010" s="10"/>
      <c r="J1010" s="10"/>
      <c r="K1010" s="10">
        <v>404.32</v>
      </c>
      <c r="L1010" s="10"/>
      <c r="M1010" s="10"/>
      <c r="N1010" s="10"/>
      <c r="O1010" s="10"/>
      <c r="P1010" s="10"/>
      <c r="Q1010" s="29">
        <f aca="true" t="shared" si="354" ref="Q1010:Q1025">SUM(F1010:P1010)</f>
        <v>2142.54</v>
      </c>
    </row>
    <row r="1011" spans="1:17" ht="12">
      <c r="A1011" s="11"/>
      <c r="B1011" s="43"/>
      <c r="C1011" s="39"/>
      <c r="D1011" s="10"/>
      <c r="E1011" s="10" t="s">
        <v>22</v>
      </c>
      <c r="F1011" s="10">
        <v>1025.94</v>
      </c>
      <c r="G1011" s="10"/>
      <c r="H1011" s="10"/>
      <c r="I1011" s="10"/>
      <c r="J1011" s="10"/>
      <c r="K1011" s="10">
        <v>1427.11</v>
      </c>
      <c r="L1011" s="10"/>
      <c r="M1011" s="10"/>
      <c r="N1011" s="10"/>
      <c r="O1011" s="10"/>
      <c r="P1011" s="10"/>
      <c r="Q1011" s="29">
        <f t="shared" si="354"/>
        <v>2453.05</v>
      </c>
    </row>
    <row r="1012" spans="1:17" ht="12">
      <c r="A1012" s="11"/>
      <c r="B1012" s="43"/>
      <c r="C1012" s="39"/>
      <c r="D1012" s="10"/>
      <c r="E1012" s="10" t="s">
        <v>23</v>
      </c>
      <c r="F1012" s="10">
        <v>1097.34</v>
      </c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29">
        <f t="shared" si="354"/>
        <v>1097.34</v>
      </c>
    </row>
    <row r="1013" spans="1:17" ht="12">
      <c r="A1013" s="11"/>
      <c r="B1013" s="43"/>
      <c r="C1013" s="39"/>
      <c r="D1013" s="10"/>
      <c r="E1013" s="14" t="s">
        <v>24</v>
      </c>
      <c r="F1013" s="14">
        <f aca="true" t="shared" si="355" ref="F1013:P1013">SUM(F1010:F1012)</f>
        <v>3861.5</v>
      </c>
      <c r="G1013" s="14">
        <f t="shared" si="355"/>
        <v>0</v>
      </c>
      <c r="H1013" s="14">
        <f t="shared" si="355"/>
        <v>0</v>
      </c>
      <c r="I1013" s="14">
        <f t="shared" si="355"/>
        <v>0</v>
      </c>
      <c r="J1013" s="14">
        <f t="shared" si="355"/>
        <v>0</v>
      </c>
      <c r="K1013" s="14">
        <f t="shared" si="355"/>
        <v>1831.4299999999998</v>
      </c>
      <c r="L1013" s="14">
        <f t="shared" si="355"/>
        <v>0</v>
      </c>
      <c r="M1013" s="14">
        <f t="shared" si="355"/>
        <v>0</v>
      </c>
      <c r="N1013" s="14">
        <f t="shared" si="355"/>
        <v>0</v>
      </c>
      <c r="O1013" s="14">
        <f t="shared" si="355"/>
        <v>0</v>
      </c>
      <c r="P1013" s="14">
        <f t="shared" si="355"/>
        <v>0</v>
      </c>
      <c r="Q1013" s="55">
        <f t="shared" si="354"/>
        <v>5692.93</v>
      </c>
    </row>
    <row r="1014" spans="1:17" ht="12">
      <c r="A1014" s="11"/>
      <c r="B1014" s="43"/>
      <c r="C1014" s="39"/>
      <c r="D1014" s="10"/>
      <c r="E1014" s="10" t="s">
        <v>25</v>
      </c>
      <c r="F1014" s="10">
        <v>3242.48</v>
      </c>
      <c r="G1014" s="10"/>
      <c r="H1014" s="10">
        <v>120</v>
      </c>
      <c r="I1014" s="10"/>
      <c r="J1014" s="10"/>
      <c r="K1014" s="10">
        <v>31.22</v>
      </c>
      <c r="L1014" s="10"/>
      <c r="M1014" s="10"/>
      <c r="N1014" s="10"/>
      <c r="O1014" s="10"/>
      <c r="P1014" s="10"/>
      <c r="Q1014" s="29">
        <f t="shared" si="354"/>
        <v>3393.7</v>
      </c>
    </row>
    <row r="1015" spans="1:17" ht="12">
      <c r="A1015" s="11"/>
      <c r="B1015" s="43"/>
      <c r="C1015" s="39"/>
      <c r="D1015" s="10"/>
      <c r="E1015" s="10" t="s">
        <v>26</v>
      </c>
      <c r="F1015" s="10">
        <v>1343.33</v>
      </c>
      <c r="G1015" s="10"/>
      <c r="H1015" s="10"/>
      <c r="I1015" s="10"/>
      <c r="J1015" s="10"/>
      <c r="K1015" s="10">
        <v>1055.34</v>
      </c>
      <c r="L1015" s="10"/>
      <c r="M1015" s="10"/>
      <c r="N1015" s="10"/>
      <c r="O1015" s="10"/>
      <c r="P1015" s="10"/>
      <c r="Q1015" s="29">
        <f t="shared" si="354"/>
        <v>2398.67</v>
      </c>
    </row>
    <row r="1016" spans="1:17" ht="12">
      <c r="A1016" s="11"/>
      <c r="B1016" s="43"/>
      <c r="C1016" s="39"/>
      <c r="D1016" s="10"/>
      <c r="E1016" s="10" t="s">
        <v>27</v>
      </c>
      <c r="F1016" s="10">
        <v>1135.17</v>
      </c>
      <c r="G1016" s="10"/>
      <c r="H1016" s="10">
        <v>120</v>
      </c>
      <c r="I1016" s="10"/>
      <c r="J1016" s="10"/>
      <c r="K1016" s="10">
        <v>31.22</v>
      </c>
      <c r="L1016" s="10"/>
      <c r="M1016" s="10"/>
      <c r="N1016" s="10"/>
      <c r="O1016" s="10"/>
      <c r="P1016" s="10"/>
      <c r="Q1016" s="29">
        <f t="shared" si="354"/>
        <v>1286.39</v>
      </c>
    </row>
    <row r="1017" spans="1:17" ht="12">
      <c r="A1017" s="11"/>
      <c r="B1017" s="43"/>
      <c r="C1017" s="39"/>
      <c r="D1017" s="10"/>
      <c r="E1017" s="14" t="s">
        <v>28</v>
      </c>
      <c r="F1017" s="14">
        <f aca="true" t="shared" si="356" ref="F1017:P1017">SUM(F1014:F1016)</f>
        <v>5720.98</v>
      </c>
      <c r="G1017" s="14">
        <f t="shared" si="356"/>
        <v>0</v>
      </c>
      <c r="H1017" s="14">
        <f t="shared" si="356"/>
        <v>240</v>
      </c>
      <c r="I1017" s="14">
        <f t="shared" si="356"/>
        <v>0</v>
      </c>
      <c r="J1017" s="14">
        <f t="shared" si="356"/>
        <v>0</v>
      </c>
      <c r="K1017" s="14">
        <f t="shared" si="356"/>
        <v>1117.78</v>
      </c>
      <c r="L1017" s="14">
        <f t="shared" si="356"/>
        <v>0</v>
      </c>
      <c r="M1017" s="14">
        <f t="shared" si="356"/>
        <v>0</v>
      </c>
      <c r="N1017" s="14">
        <f t="shared" si="356"/>
        <v>0</v>
      </c>
      <c r="O1017" s="14">
        <f t="shared" si="356"/>
        <v>0</v>
      </c>
      <c r="P1017" s="14">
        <f t="shared" si="356"/>
        <v>0</v>
      </c>
      <c r="Q1017" s="55">
        <f t="shared" si="354"/>
        <v>7078.759999999999</v>
      </c>
    </row>
    <row r="1018" spans="1:17" ht="12">
      <c r="A1018" s="11"/>
      <c r="B1018" s="43"/>
      <c r="C1018" s="39"/>
      <c r="D1018" s="10"/>
      <c r="E1018" s="10" t="s">
        <v>29</v>
      </c>
      <c r="F1018" s="10">
        <v>2693.26</v>
      </c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29">
        <f t="shared" si="354"/>
        <v>2693.26</v>
      </c>
    </row>
    <row r="1019" spans="1:17" ht="12.75">
      <c r="A1019" s="11"/>
      <c r="B1019" s="43"/>
      <c r="C1019" s="39"/>
      <c r="D1019" s="10"/>
      <c r="E1019" s="10" t="s">
        <v>30</v>
      </c>
      <c r="F1019" s="17">
        <v>2813.44</v>
      </c>
      <c r="G1019" s="10"/>
      <c r="H1019" s="10"/>
      <c r="I1019" s="10"/>
      <c r="J1019" s="10"/>
      <c r="K1019" s="17">
        <v>1055.34</v>
      </c>
      <c r="L1019" s="10"/>
      <c r="M1019" s="10"/>
      <c r="N1019" s="10"/>
      <c r="O1019" s="10"/>
      <c r="P1019" s="10"/>
      <c r="Q1019" s="29">
        <f t="shared" si="354"/>
        <v>3868.7799999999997</v>
      </c>
    </row>
    <row r="1020" spans="1:17" ht="12.75">
      <c r="A1020" s="11"/>
      <c r="B1020" s="43"/>
      <c r="C1020" s="39"/>
      <c r="D1020" s="10"/>
      <c r="E1020" s="10" t="s">
        <v>31</v>
      </c>
      <c r="F1020" s="10">
        <v>3478.61</v>
      </c>
      <c r="G1020" s="10"/>
      <c r="H1020" s="17">
        <v>120</v>
      </c>
      <c r="I1020" s="10"/>
      <c r="J1020" s="10"/>
      <c r="K1020" s="10"/>
      <c r="L1020" s="10"/>
      <c r="M1020" s="10"/>
      <c r="N1020" s="10"/>
      <c r="O1020" s="10"/>
      <c r="P1020" s="10"/>
      <c r="Q1020" s="29">
        <f t="shared" si="354"/>
        <v>3598.61</v>
      </c>
    </row>
    <row r="1021" spans="1:17" ht="12">
      <c r="A1021" s="11"/>
      <c r="B1021" s="43"/>
      <c r="C1021" s="39"/>
      <c r="D1021" s="10"/>
      <c r="E1021" s="14" t="s">
        <v>32</v>
      </c>
      <c r="F1021" s="14">
        <f aca="true" t="shared" si="357" ref="F1021:P1021">SUM(F1018:F1020)</f>
        <v>8985.310000000001</v>
      </c>
      <c r="G1021" s="14">
        <f t="shared" si="357"/>
        <v>0</v>
      </c>
      <c r="H1021" s="14">
        <f t="shared" si="357"/>
        <v>120</v>
      </c>
      <c r="I1021" s="14">
        <f t="shared" si="357"/>
        <v>0</v>
      </c>
      <c r="J1021" s="14">
        <f t="shared" si="357"/>
        <v>0</v>
      </c>
      <c r="K1021" s="14">
        <f t="shared" si="357"/>
        <v>1055.34</v>
      </c>
      <c r="L1021" s="14">
        <f t="shared" si="357"/>
        <v>0</v>
      </c>
      <c r="M1021" s="14">
        <f t="shared" si="357"/>
        <v>0</v>
      </c>
      <c r="N1021" s="14">
        <f t="shared" si="357"/>
        <v>0</v>
      </c>
      <c r="O1021" s="14">
        <f t="shared" si="357"/>
        <v>0</v>
      </c>
      <c r="P1021" s="14">
        <f t="shared" si="357"/>
        <v>0</v>
      </c>
      <c r="Q1021" s="55">
        <f t="shared" si="354"/>
        <v>10160.650000000001</v>
      </c>
    </row>
    <row r="1022" spans="1:17" ht="12.75">
      <c r="A1022" s="11"/>
      <c r="B1022" s="43"/>
      <c r="C1022" s="39"/>
      <c r="D1022" s="10"/>
      <c r="E1022" s="10" t="s">
        <v>33</v>
      </c>
      <c r="F1022" s="17">
        <v>2555.87</v>
      </c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29">
        <f t="shared" si="354"/>
        <v>2555.87</v>
      </c>
    </row>
    <row r="1023" spans="1:17" ht="12.75">
      <c r="A1023" s="11"/>
      <c r="B1023" s="43"/>
      <c r="C1023" s="39"/>
      <c r="D1023" s="10"/>
      <c r="E1023" s="10" t="s">
        <v>34</v>
      </c>
      <c r="F1023" s="17">
        <v>2426.88</v>
      </c>
      <c r="G1023" s="10"/>
      <c r="H1023" s="10"/>
      <c r="I1023" s="10"/>
      <c r="J1023" s="10"/>
      <c r="K1023" s="17">
        <v>1055.34</v>
      </c>
      <c r="L1023" s="10"/>
      <c r="M1023" s="10"/>
      <c r="N1023" s="10"/>
      <c r="O1023" s="10"/>
      <c r="P1023" s="10"/>
      <c r="Q1023" s="29">
        <f t="shared" si="354"/>
        <v>3482.2200000000003</v>
      </c>
    </row>
    <row r="1024" spans="1:17" ht="12.75">
      <c r="A1024" s="11"/>
      <c r="B1024" s="43"/>
      <c r="C1024" s="39"/>
      <c r="D1024" s="10"/>
      <c r="E1024" s="10" t="s">
        <v>35</v>
      </c>
      <c r="F1024" s="10">
        <v>1843.5</v>
      </c>
      <c r="G1024" s="10"/>
      <c r="H1024" s="18">
        <v>120</v>
      </c>
      <c r="I1024" s="10"/>
      <c r="J1024" s="10"/>
      <c r="K1024" s="10"/>
      <c r="L1024" s="10"/>
      <c r="M1024" s="10"/>
      <c r="N1024" s="10"/>
      <c r="O1024" s="10"/>
      <c r="P1024" s="10"/>
      <c r="Q1024" s="29">
        <f t="shared" si="354"/>
        <v>1963.5</v>
      </c>
    </row>
    <row r="1025" spans="1:17" ht="12">
      <c r="A1025" s="11"/>
      <c r="B1025" s="43"/>
      <c r="C1025" s="39"/>
      <c r="D1025" s="10"/>
      <c r="E1025" s="14" t="s">
        <v>36</v>
      </c>
      <c r="F1025" s="14">
        <f aca="true" t="shared" si="358" ref="F1025:P1025">SUM(F1022:F1024)</f>
        <v>6826.25</v>
      </c>
      <c r="G1025" s="14">
        <f t="shared" si="358"/>
        <v>0</v>
      </c>
      <c r="H1025" s="14">
        <f t="shared" si="358"/>
        <v>120</v>
      </c>
      <c r="I1025" s="14">
        <f t="shared" si="358"/>
        <v>0</v>
      </c>
      <c r="J1025" s="14">
        <f t="shared" si="358"/>
        <v>0</v>
      </c>
      <c r="K1025" s="14">
        <f t="shared" si="358"/>
        <v>1055.34</v>
      </c>
      <c r="L1025" s="14">
        <f t="shared" si="358"/>
        <v>0</v>
      </c>
      <c r="M1025" s="14">
        <f t="shared" si="358"/>
        <v>0</v>
      </c>
      <c r="N1025" s="14">
        <f t="shared" si="358"/>
        <v>0</v>
      </c>
      <c r="O1025" s="14">
        <f t="shared" si="358"/>
        <v>0</v>
      </c>
      <c r="P1025" s="14">
        <f t="shared" si="358"/>
        <v>0</v>
      </c>
      <c r="Q1025" s="55">
        <f t="shared" si="354"/>
        <v>8001.59</v>
      </c>
    </row>
    <row r="1026" spans="1:17" ht="12.75" thickBot="1">
      <c r="A1026" s="11"/>
      <c r="B1026" s="43"/>
      <c r="C1026" s="39"/>
      <c r="D1026" s="10"/>
      <c r="E1026" s="22" t="s">
        <v>37</v>
      </c>
      <c r="F1026" s="22">
        <f aca="true" t="shared" si="359" ref="F1026:Q1026">F1013+F1017+F1021+F1025</f>
        <v>25394.04</v>
      </c>
      <c r="G1026" s="22">
        <f t="shared" si="359"/>
        <v>0</v>
      </c>
      <c r="H1026" s="22">
        <f t="shared" si="359"/>
        <v>480</v>
      </c>
      <c r="I1026" s="22">
        <f t="shared" si="359"/>
        <v>0</v>
      </c>
      <c r="J1026" s="22">
        <f t="shared" si="359"/>
        <v>0</v>
      </c>
      <c r="K1026" s="22">
        <f t="shared" si="359"/>
        <v>5059.89</v>
      </c>
      <c r="L1026" s="22">
        <f t="shared" si="359"/>
        <v>0</v>
      </c>
      <c r="M1026" s="22">
        <f t="shared" si="359"/>
        <v>0</v>
      </c>
      <c r="N1026" s="22">
        <f t="shared" si="359"/>
        <v>0</v>
      </c>
      <c r="O1026" s="22">
        <f t="shared" si="359"/>
        <v>0</v>
      </c>
      <c r="P1026" s="35">
        <f t="shared" si="359"/>
        <v>0</v>
      </c>
      <c r="Q1026" s="23">
        <f t="shared" si="359"/>
        <v>30933.93</v>
      </c>
    </row>
    <row r="1027" spans="1:17" ht="12">
      <c r="A1027" s="11">
        <v>61</v>
      </c>
      <c r="B1027" s="43">
        <v>106</v>
      </c>
      <c r="C1027" s="39" t="s">
        <v>156</v>
      </c>
      <c r="D1027" s="45" t="s">
        <v>157</v>
      </c>
      <c r="E1027" s="10" t="s">
        <v>21</v>
      </c>
      <c r="F1027" s="10">
        <v>0</v>
      </c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29">
        <f aca="true" t="shared" si="360" ref="Q1027:Q1042">SUM(F1027:P1027)</f>
        <v>0</v>
      </c>
    </row>
    <row r="1028" spans="1:17" ht="12">
      <c r="A1028" s="11"/>
      <c r="B1028" s="43"/>
      <c r="C1028" s="39"/>
      <c r="D1028" s="10"/>
      <c r="E1028" s="10" t="s">
        <v>22</v>
      </c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29">
        <f t="shared" si="360"/>
        <v>0</v>
      </c>
    </row>
    <row r="1029" spans="1:17" ht="12">
      <c r="A1029" s="11"/>
      <c r="B1029" s="43"/>
      <c r="C1029" s="39"/>
      <c r="D1029" s="10"/>
      <c r="E1029" s="10" t="s">
        <v>23</v>
      </c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29">
        <f t="shared" si="360"/>
        <v>0</v>
      </c>
    </row>
    <row r="1030" spans="1:17" ht="12">
      <c r="A1030" s="11"/>
      <c r="B1030" s="43"/>
      <c r="C1030" s="39"/>
      <c r="D1030" s="10"/>
      <c r="E1030" s="14" t="s">
        <v>24</v>
      </c>
      <c r="F1030" s="14">
        <f aca="true" t="shared" si="361" ref="F1030:P1030">SUM(F1027:F1029)</f>
        <v>0</v>
      </c>
      <c r="G1030" s="14">
        <f t="shared" si="361"/>
        <v>0</v>
      </c>
      <c r="H1030" s="14">
        <f t="shared" si="361"/>
        <v>0</v>
      </c>
      <c r="I1030" s="14">
        <f t="shared" si="361"/>
        <v>0</v>
      </c>
      <c r="J1030" s="14">
        <f t="shared" si="361"/>
        <v>0</v>
      </c>
      <c r="K1030" s="14">
        <f t="shared" si="361"/>
        <v>0</v>
      </c>
      <c r="L1030" s="14">
        <f t="shared" si="361"/>
        <v>0</v>
      </c>
      <c r="M1030" s="14">
        <f t="shared" si="361"/>
        <v>0</v>
      </c>
      <c r="N1030" s="14">
        <f t="shared" si="361"/>
        <v>0</v>
      </c>
      <c r="O1030" s="14">
        <f t="shared" si="361"/>
        <v>0</v>
      </c>
      <c r="P1030" s="14">
        <f t="shared" si="361"/>
        <v>0</v>
      </c>
      <c r="Q1030" s="55">
        <f t="shared" si="360"/>
        <v>0</v>
      </c>
    </row>
    <row r="1031" spans="1:17" ht="12">
      <c r="A1031" s="11"/>
      <c r="B1031" s="43"/>
      <c r="C1031" s="39"/>
      <c r="D1031" s="10"/>
      <c r="E1031" s="10" t="s">
        <v>25</v>
      </c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29">
        <f t="shared" si="360"/>
        <v>0</v>
      </c>
    </row>
    <row r="1032" spans="1:17" ht="12">
      <c r="A1032" s="11"/>
      <c r="B1032" s="43"/>
      <c r="C1032" s="39"/>
      <c r="D1032" s="10"/>
      <c r="E1032" s="10" t="s">
        <v>26</v>
      </c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29">
        <f t="shared" si="360"/>
        <v>0</v>
      </c>
    </row>
    <row r="1033" spans="1:17" ht="12">
      <c r="A1033" s="11"/>
      <c r="B1033" s="43"/>
      <c r="C1033" s="39"/>
      <c r="D1033" s="10"/>
      <c r="E1033" s="10" t="s">
        <v>27</v>
      </c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29">
        <f t="shared" si="360"/>
        <v>0</v>
      </c>
    </row>
    <row r="1034" spans="1:17" ht="12">
      <c r="A1034" s="11"/>
      <c r="B1034" s="43"/>
      <c r="C1034" s="39"/>
      <c r="D1034" s="10"/>
      <c r="E1034" s="14" t="s">
        <v>28</v>
      </c>
      <c r="F1034" s="14">
        <f aca="true" t="shared" si="362" ref="F1034:P1034">SUM(F1031:F1033)</f>
        <v>0</v>
      </c>
      <c r="G1034" s="14">
        <f t="shared" si="362"/>
        <v>0</v>
      </c>
      <c r="H1034" s="14">
        <f t="shared" si="362"/>
        <v>0</v>
      </c>
      <c r="I1034" s="14">
        <f t="shared" si="362"/>
        <v>0</v>
      </c>
      <c r="J1034" s="14">
        <f t="shared" si="362"/>
        <v>0</v>
      </c>
      <c r="K1034" s="14">
        <f t="shared" si="362"/>
        <v>0</v>
      </c>
      <c r="L1034" s="14">
        <f t="shared" si="362"/>
        <v>0</v>
      </c>
      <c r="M1034" s="14">
        <f t="shared" si="362"/>
        <v>0</v>
      </c>
      <c r="N1034" s="14">
        <f t="shared" si="362"/>
        <v>0</v>
      </c>
      <c r="O1034" s="14">
        <f t="shared" si="362"/>
        <v>0</v>
      </c>
      <c r="P1034" s="14">
        <f t="shared" si="362"/>
        <v>0</v>
      </c>
      <c r="Q1034" s="55">
        <f t="shared" si="360"/>
        <v>0</v>
      </c>
    </row>
    <row r="1035" spans="1:17" ht="12">
      <c r="A1035" s="11"/>
      <c r="B1035" s="43"/>
      <c r="C1035" s="39"/>
      <c r="D1035" s="10"/>
      <c r="E1035" s="10" t="s">
        <v>29</v>
      </c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29">
        <f t="shared" si="360"/>
        <v>0</v>
      </c>
    </row>
    <row r="1036" spans="1:17" ht="12">
      <c r="A1036" s="11"/>
      <c r="B1036" s="43"/>
      <c r="C1036" s="39"/>
      <c r="D1036" s="10"/>
      <c r="E1036" s="10" t="s">
        <v>30</v>
      </c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29">
        <f t="shared" si="360"/>
        <v>0</v>
      </c>
    </row>
    <row r="1037" spans="1:17" ht="12">
      <c r="A1037" s="11"/>
      <c r="B1037" s="43"/>
      <c r="C1037" s="39"/>
      <c r="D1037" s="10"/>
      <c r="E1037" s="10" t="s">
        <v>31</v>
      </c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29">
        <f t="shared" si="360"/>
        <v>0</v>
      </c>
    </row>
    <row r="1038" spans="1:17" ht="12">
      <c r="A1038" s="11"/>
      <c r="B1038" s="43"/>
      <c r="C1038" s="39"/>
      <c r="D1038" s="10"/>
      <c r="E1038" s="14" t="s">
        <v>32</v>
      </c>
      <c r="F1038" s="14">
        <f aca="true" t="shared" si="363" ref="F1038:P1038">SUM(F1035:F1037)</f>
        <v>0</v>
      </c>
      <c r="G1038" s="14">
        <f t="shared" si="363"/>
        <v>0</v>
      </c>
      <c r="H1038" s="14">
        <f t="shared" si="363"/>
        <v>0</v>
      </c>
      <c r="I1038" s="14">
        <f t="shared" si="363"/>
        <v>0</v>
      </c>
      <c r="J1038" s="14">
        <f t="shared" si="363"/>
        <v>0</v>
      </c>
      <c r="K1038" s="14">
        <f t="shared" si="363"/>
        <v>0</v>
      </c>
      <c r="L1038" s="14">
        <f t="shared" si="363"/>
        <v>0</v>
      </c>
      <c r="M1038" s="14">
        <f t="shared" si="363"/>
        <v>0</v>
      </c>
      <c r="N1038" s="14">
        <f t="shared" si="363"/>
        <v>0</v>
      </c>
      <c r="O1038" s="14">
        <f t="shared" si="363"/>
        <v>0</v>
      </c>
      <c r="P1038" s="14">
        <f t="shared" si="363"/>
        <v>0</v>
      </c>
      <c r="Q1038" s="55">
        <f t="shared" si="360"/>
        <v>0</v>
      </c>
    </row>
    <row r="1039" spans="1:17" ht="12">
      <c r="A1039" s="11"/>
      <c r="B1039" s="43"/>
      <c r="C1039" s="39"/>
      <c r="D1039" s="10"/>
      <c r="E1039" s="10" t="s">
        <v>33</v>
      </c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29">
        <f t="shared" si="360"/>
        <v>0</v>
      </c>
    </row>
    <row r="1040" spans="1:17" ht="12">
      <c r="A1040" s="11"/>
      <c r="B1040" s="43"/>
      <c r="C1040" s="39"/>
      <c r="D1040" s="10"/>
      <c r="E1040" s="10" t="s">
        <v>34</v>
      </c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29">
        <f t="shared" si="360"/>
        <v>0</v>
      </c>
    </row>
    <row r="1041" spans="1:17" ht="12">
      <c r="A1041" s="11"/>
      <c r="B1041" s="43"/>
      <c r="C1041" s="39"/>
      <c r="D1041" s="10"/>
      <c r="E1041" s="10" t="s">
        <v>35</v>
      </c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29">
        <f t="shared" si="360"/>
        <v>0</v>
      </c>
    </row>
    <row r="1042" spans="1:17" ht="12">
      <c r="A1042" s="11"/>
      <c r="B1042" s="43"/>
      <c r="C1042" s="39"/>
      <c r="D1042" s="10"/>
      <c r="E1042" s="14" t="s">
        <v>36</v>
      </c>
      <c r="F1042" s="14">
        <f aca="true" t="shared" si="364" ref="F1042:P1042">SUM(F1039:F1041)</f>
        <v>0</v>
      </c>
      <c r="G1042" s="14">
        <f t="shared" si="364"/>
        <v>0</v>
      </c>
      <c r="H1042" s="14">
        <f t="shared" si="364"/>
        <v>0</v>
      </c>
      <c r="I1042" s="14">
        <f t="shared" si="364"/>
        <v>0</v>
      </c>
      <c r="J1042" s="14">
        <f t="shared" si="364"/>
        <v>0</v>
      </c>
      <c r="K1042" s="14">
        <f t="shared" si="364"/>
        <v>0</v>
      </c>
      <c r="L1042" s="14">
        <f t="shared" si="364"/>
        <v>0</v>
      </c>
      <c r="M1042" s="14">
        <f t="shared" si="364"/>
        <v>0</v>
      </c>
      <c r="N1042" s="14">
        <f t="shared" si="364"/>
        <v>0</v>
      </c>
      <c r="O1042" s="14">
        <f t="shared" si="364"/>
        <v>0</v>
      </c>
      <c r="P1042" s="14">
        <f t="shared" si="364"/>
        <v>0</v>
      </c>
      <c r="Q1042" s="55">
        <f t="shared" si="360"/>
        <v>0</v>
      </c>
    </row>
    <row r="1043" spans="1:17" ht="12.75" thickBot="1">
      <c r="A1043" s="11"/>
      <c r="B1043" s="43"/>
      <c r="C1043" s="39"/>
      <c r="D1043" s="10"/>
      <c r="E1043" s="22" t="s">
        <v>37</v>
      </c>
      <c r="F1043" s="22">
        <f aca="true" t="shared" si="365" ref="F1043:Q1043">F1030+F1034+F1038+F1042</f>
        <v>0</v>
      </c>
      <c r="G1043" s="22">
        <f t="shared" si="365"/>
        <v>0</v>
      </c>
      <c r="H1043" s="22">
        <f t="shared" si="365"/>
        <v>0</v>
      </c>
      <c r="I1043" s="22">
        <f t="shared" si="365"/>
        <v>0</v>
      </c>
      <c r="J1043" s="22">
        <f t="shared" si="365"/>
        <v>0</v>
      </c>
      <c r="K1043" s="22">
        <f t="shared" si="365"/>
        <v>0</v>
      </c>
      <c r="L1043" s="22">
        <f t="shared" si="365"/>
        <v>0</v>
      </c>
      <c r="M1043" s="22">
        <f t="shared" si="365"/>
        <v>0</v>
      </c>
      <c r="N1043" s="22">
        <f t="shared" si="365"/>
        <v>0</v>
      </c>
      <c r="O1043" s="22">
        <f t="shared" si="365"/>
        <v>0</v>
      </c>
      <c r="P1043" s="35">
        <f t="shared" si="365"/>
        <v>0</v>
      </c>
      <c r="Q1043" s="23">
        <f t="shared" si="365"/>
        <v>0</v>
      </c>
    </row>
    <row r="1044" spans="1:17" ht="12">
      <c r="A1044" s="11">
        <v>62</v>
      </c>
      <c r="B1044" s="43">
        <v>107</v>
      </c>
      <c r="C1044" s="39" t="s">
        <v>158</v>
      </c>
      <c r="D1044" s="38" t="s">
        <v>159</v>
      </c>
      <c r="E1044" s="10" t="s">
        <v>21</v>
      </c>
      <c r="F1044" s="10">
        <v>13072.08</v>
      </c>
      <c r="G1044" s="10"/>
      <c r="H1044" s="10">
        <v>2760</v>
      </c>
      <c r="I1044" s="10"/>
      <c r="J1044" s="10"/>
      <c r="K1044" s="10">
        <v>1788.8</v>
      </c>
      <c r="L1044" s="10"/>
      <c r="M1044" s="10"/>
      <c r="N1044" s="10"/>
      <c r="O1044" s="10">
        <v>1823.53</v>
      </c>
      <c r="P1044" s="10"/>
      <c r="Q1044" s="29">
        <f aca="true" t="shared" si="366" ref="Q1044:Q1059">SUM(F1044:P1044)</f>
        <v>19444.41</v>
      </c>
    </row>
    <row r="1045" spans="1:17" ht="12">
      <c r="A1045" s="11"/>
      <c r="B1045" s="43"/>
      <c r="C1045" s="39"/>
      <c r="D1045" s="10"/>
      <c r="E1045" s="10" t="s">
        <v>22</v>
      </c>
      <c r="F1045" s="10">
        <v>24118.33</v>
      </c>
      <c r="G1045" s="10"/>
      <c r="H1045" s="10">
        <v>3708</v>
      </c>
      <c r="I1045" s="10"/>
      <c r="J1045" s="10"/>
      <c r="K1045" s="10">
        <v>16370.87</v>
      </c>
      <c r="L1045" s="10"/>
      <c r="M1045" s="10"/>
      <c r="N1045" s="10"/>
      <c r="O1045" s="10"/>
      <c r="P1045" s="10"/>
      <c r="Q1045" s="29">
        <f t="shared" si="366"/>
        <v>44197.200000000004</v>
      </c>
    </row>
    <row r="1046" spans="1:17" ht="12">
      <c r="A1046" s="11"/>
      <c r="B1046" s="43"/>
      <c r="C1046" s="39"/>
      <c r="D1046" s="10"/>
      <c r="E1046" s="10" t="s">
        <v>23</v>
      </c>
      <c r="F1046" s="10">
        <v>23773.04</v>
      </c>
      <c r="G1046" s="10"/>
      <c r="H1046" s="10">
        <v>3360</v>
      </c>
      <c r="I1046" s="10"/>
      <c r="J1046" s="10"/>
      <c r="K1046" s="10">
        <v>15475.86</v>
      </c>
      <c r="L1046" s="10"/>
      <c r="M1046" s="10"/>
      <c r="N1046" s="10"/>
      <c r="O1046" s="10">
        <v>1823.53</v>
      </c>
      <c r="P1046" s="10"/>
      <c r="Q1046" s="29">
        <f t="shared" si="366"/>
        <v>44432.43</v>
      </c>
    </row>
    <row r="1047" spans="1:17" ht="12">
      <c r="A1047" s="11"/>
      <c r="B1047" s="43"/>
      <c r="C1047" s="39"/>
      <c r="D1047" s="10"/>
      <c r="E1047" s="14" t="s">
        <v>24</v>
      </c>
      <c r="F1047" s="14">
        <f aca="true" t="shared" si="367" ref="F1047:P1047">SUM(F1044:F1046)</f>
        <v>60963.450000000004</v>
      </c>
      <c r="G1047" s="14">
        <f t="shared" si="367"/>
        <v>0</v>
      </c>
      <c r="H1047" s="14">
        <f t="shared" si="367"/>
        <v>9828</v>
      </c>
      <c r="I1047" s="14">
        <f t="shared" si="367"/>
        <v>0</v>
      </c>
      <c r="J1047" s="14">
        <f t="shared" si="367"/>
        <v>0</v>
      </c>
      <c r="K1047" s="14">
        <f t="shared" si="367"/>
        <v>33635.53</v>
      </c>
      <c r="L1047" s="14">
        <f t="shared" si="367"/>
        <v>0</v>
      </c>
      <c r="M1047" s="14">
        <f t="shared" si="367"/>
        <v>0</v>
      </c>
      <c r="N1047" s="14">
        <f t="shared" si="367"/>
        <v>0</v>
      </c>
      <c r="O1047" s="14">
        <f t="shared" si="367"/>
        <v>3647.06</v>
      </c>
      <c r="P1047" s="14">
        <f t="shared" si="367"/>
        <v>0</v>
      </c>
      <c r="Q1047" s="55">
        <f t="shared" si="366"/>
        <v>108074.04000000001</v>
      </c>
    </row>
    <row r="1048" spans="1:17" ht="12">
      <c r="A1048" s="11"/>
      <c r="B1048" s="43"/>
      <c r="C1048" s="39"/>
      <c r="D1048" s="10"/>
      <c r="E1048" s="10" t="s">
        <v>25</v>
      </c>
      <c r="F1048" s="10">
        <v>20653.22</v>
      </c>
      <c r="G1048" s="10"/>
      <c r="H1048" s="10">
        <v>3600</v>
      </c>
      <c r="I1048" s="10"/>
      <c r="J1048" s="10"/>
      <c r="K1048" s="10">
        <v>17421.08</v>
      </c>
      <c r="L1048" s="10"/>
      <c r="M1048" s="10"/>
      <c r="N1048" s="10"/>
      <c r="O1048" s="10">
        <v>911.76</v>
      </c>
      <c r="P1048" s="10"/>
      <c r="Q1048" s="29">
        <f t="shared" si="366"/>
        <v>42586.060000000005</v>
      </c>
    </row>
    <row r="1049" spans="1:17" ht="12">
      <c r="A1049" s="11"/>
      <c r="B1049" s="43"/>
      <c r="C1049" s="39"/>
      <c r="D1049" s="10"/>
      <c r="E1049" s="10" t="s">
        <v>26</v>
      </c>
      <c r="F1049" s="10">
        <v>20184.81</v>
      </c>
      <c r="G1049" s="10"/>
      <c r="H1049" s="10">
        <v>3360</v>
      </c>
      <c r="I1049" s="10"/>
      <c r="J1049" s="10"/>
      <c r="K1049" s="10">
        <v>15793.56</v>
      </c>
      <c r="L1049" s="10"/>
      <c r="M1049" s="10"/>
      <c r="N1049" s="10">
        <v>420.54</v>
      </c>
      <c r="O1049" s="10">
        <v>8010.23</v>
      </c>
      <c r="P1049" s="10"/>
      <c r="Q1049" s="29">
        <f t="shared" si="366"/>
        <v>47769.14</v>
      </c>
    </row>
    <row r="1050" spans="1:17" ht="12">
      <c r="A1050" s="11"/>
      <c r="B1050" s="43"/>
      <c r="C1050" s="39"/>
      <c r="D1050" s="10"/>
      <c r="E1050" s="10" t="s">
        <v>27</v>
      </c>
      <c r="F1050" s="15">
        <f>26276.42-6842.68</f>
        <v>19433.739999999998</v>
      </c>
      <c r="G1050" s="10"/>
      <c r="H1050" s="10">
        <v>3722.4</v>
      </c>
      <c r="I1050" s="10"/>
      <c r="J1050" s="10"/>
      <c r="K1050" s="10">
        <v>7062.33</v>
      </c>
      <c r="L1050" s="10"/>
      <c r="M1050" s="10"/>
      <c r="N1050" s="10"/>
      <c r="O1050" s="10">
        <v>5104.18</v>
      </c>
      <c r="P1050" s="10"/>
      <c r="Q1050" s="29">
        <f t="shared" si="366"/>
        <v>35322.65</v>
      </c>
    </row>
    <row r="1051" spans="1:17" ht="12">
      <c r="A1051" s="11"/>
      <c r="B1051" s="43"/>
      <c r="C1051" s="39"/>
      <c r="D1051" s="10"/>
      <c r="E1051" s="14" t="s">
        <v>28</v>
      </c>
      <c r="F1051" s="14">
        <f aca="true" t="shared" si="368" ref="F1051:P1051">SUM(F1048:F1050)</f>
        <v>60271.77</v>
      </c>
      <c r="G1051" s="14">
        <f t="shared" si="368"/>
        <v>0</v>
      </c>
      <c r="H1051" s="14">
        <f t="shared" si="368"/>
        <v>10682.4</v>
      </c>
      <c r="I1051" s="14">
        <f t="shared" si="368"/>
        <v>0</v>
      </c>
      <c r="J1051" s="14">
        <f t="shared" si="368"/>
        <v>0</v>
      </c>
      <c r="K1051" s="14">
        <f t="shared" si="368"/>
        <v>40276.97</v>
      </c>
      <c r="L1051" s="14">
        <f t="shared" si="368"/>
        <v>0</v>
      </c>
      <c r="M1051" s="14">
        <f t="shared" si="368"/>
        <v>0</v>
      </c>
      <c r="N1051" s="14">
        <f t="shared" si="368"/>
        <v>420.54</v>
      </c>
      <c r="O1051" s="14">
        <f t="shared" si="368"/>
        <v>14026.17</v>
      </c>
      <c r="P1051" s="14">
        <f t="shared" si="368"/>
        <v>0</v>
      </c>
      <c r="Q1051" s="55">
        <f t="shared" si="366"/>
        <v>125677.84999999999</v>
      </c>
    </row>
    <row r="1052" spans="1:17" ht="12">
      <c r="A1052" s="11"/>
      <c r="B1052" s="43"/>
      <c r="C1052" s="39"/>
      <c r="D1052" s="10"/>
      <c r="E1052" s="10" t="s">
        <v>29</v>
      </c>
      <c r="F1052" s="15">
        <f>6842.68+17073.57</f>
        <v>23916.25</v>
      </c>
      <c r="G1052" s="10"/>
      <c r="H1052" s="10">
        <v>2760</v>
      </c>
      <c r="I1052" s="10"/>
      <c r="J1052" s="10"/>
      <c r="K1052" s="10">
        <v>1962.1</v>
      </c>
      <c r="L1052" s="10"/>
      <c r="M1052" s="10"/>
      <c r="N1052" s="10"/>
      <c r="O1052" s="10">
        <v>1949.42</v>
      </c>
      <c r="P1052" s="10"/>
      <c r="Q1052" s="29">
        <f t="shared" si="366"/>
        <v>30587.769999999997</v>
      </c>
    </row>
    <row r="1053" spans="1:17" ht="12.75">
      <c r="A1053" s="11"/>
      <c r="B1053" s="43"/>
      <c r="C1053" s="39"/>
      <c r="D1053" s="10"/>
      <c r="E1053" s="10" t="s">
        <v>30</v>
      </c>
      <c r="F1053" s="10">
        <v>25533.86</v>
      </c>
      <c r="G1053" s="10"/>
      <c r="H1053" s="17">
        <v>4080</v>
      </c>
      <c r="I1053" s="10"/>
      <c r="J1053" s="10"/>
      <c r="K1053" s="10">
        <v>1238.04</v>
      </c>
      <c r="L1053" s="10"/>
      <c r="M1053" s="10"/>
      <c r="N1053" s="10"/>
      <c r="O1053" s="10">
        <v>4859.81</v>
      </c>
      <c r="P1053" s="10"/>
      <c r="Q1053" s="29">
        <f t="shared" si="366"/>
        <v>35711.71</v>
      </c>
    </row>
    <row r="1054" spans="1:17" ht="12.75">
      <c r="A1054" s="11"/>
      <c r="B1054" s="43"/>
      <c r="C1054" s="39"/>
      <c r="D1054" s="10"/>
      <c r="E1054" s="10" t="s">
        <v>31</v>
      </c>
      <c r="F1054" s="10">
        <v>28557.2</v>
      </c>
      <c r="G1054" s="10"/>
      <c r="H1054" s="10">
        <v>4800</v>
      </c>
      <c r="I1054" s="10"/>
      <c r="J1054" s="10"/>
      <c r="K1054" s="10">
        <v>1744.74</v>
      </c>
      <c r="L1054" s="10"/>
      <c r="M1054" s="10"/>
      <c r="N1054" s="10"/>
      <c r="O1054" s="17">
        <v>2118.02</v>
      </c>
      <c r="P1054" s="10"/>
      <c r="Q1054" s="29">
        <f t="shared" si="366"/>
        <v>37219.95999999999</v>
      </c>
    </row>
    <row r="1055" spans="1:17" ht="12">
      <c r="A1055" s="11"/>
      <c r="B1055" s="43"/>
      <c r="C1055" s="39"/>
      <c r="D1055" s="10"/>
      <c r="E1055" s="14" t="s">
        <v>32</v>
      </c>
      <c r="F1055" s="14">
        <f aca="true" t="shared" si="369" ref="F1055:P1055">SUM(F1052:F1054)</f>
        <v>78007.31</v>
      </c>
      <c r="G1055" s="14">
        <f t="shared" si="369"/>
        <v>0</v>
      </c>
      <c r="H1055" s="14">
        <f t="shared" si="369"/>
        <v>11640</v>
      </c>
      <c r="I1055" s="14">
        <f t="shared" si="369"/>
        <v>0</v>
      </c>
      <c r="J1055" s="14">
        <f t="shared" si="369"/>
        <v>0</v>
      </c>
      <c r="K1055" s="14">
        <f t="shared" si="369"/>
        <v>4944.88</v>
      </c>
      <c r="L1055" s="14">
        <f t="shared" si="369"/>
        <v>0</v>
      </c>
      <c r="M1055" s="14">
        <f t="shared" si="369"/>
        <v>0</v>
      </c>
      <c r="N1055" s="14">
        <f t="shared" si="369"/>
        <v>0</v>
      </c>
      <c r="O1055" s="14">
        <f t="shared" si="369"/>
        <v>8927.25</v>
      </c>
      <c r="P1055" s="14">
        <f t="shared" si="369"/>
        <v>0</v>
      </c>
      <c r="Q1055" s="55">
        <f t="shared" si="366"/>
        <v>103519.44</v>
      </c>
    </row>
    <row r="1056" spans="1:17" ht="12.75">
      <c r="A1056" s="11"/>
      <c r="B1056" s="43"/>
      <c r="C1056" s="39"/>
      <c r="D1056" s="10"/>
      <c r="E1056" s="10" t="s">
        <v>33</v>
      </c>
      <c r="F1056" s="10">
        <v>20106.03</v>
      </c>
      <c r="G1056" s="10"/>
      <c r="H1056" s="10">
        <v>3840</v>
      </c>
      <c r="I1056" s="10"/>
      <c r="J1056" s="10"/>
      <c r="K1056" s="17">
        <v>702.97</v>
      </c>
      <c r="L1056" s="10"/>
      <c r="M1056" s="10"/>
      <c r="N1056" s="10"/>
      <c r="O1056" s="17">
        <v>1348.69</v>
      </c>
      <c r="P1056" s="10"/>
      <c r="Q1056" s="29">
        <f t="shared" si="366"/>
        <v>25997.69</v>
      </c>
    </row>
    <row r="1057" spans="1:17" ht="12.75">
      <c r="A1057" s="11"/>
      <c r="B1057" s="43"/>
      <c r="C1057" s="39"/>
      <c r="D1057" s="10"/>
      <c r="E1057" s="10" t="s">
        <v>34</v>
      </c>
      <c r="F1057" s="10">
        <v>23736.16</v>
      </c>
      <c r="G1057" s="10"/>
      <c r="H1057" s="10">
        <v>4080</v>
      </c>
      <c r="I1057" s="10"/>
      <c r="J1057" s="10"/>
      <c r="K1057" s="10">
        <v>1749.7</v>
      </c>
      <c r="L1057" s="10"/>
      <c r="M1057" s="10"/>
      <c r="N1057" s="17">
        <v>420.54</v>
      </c>
      <c r="O1057" s="17">
        <v>2741.8</v>
      </c>
      <c r="P1057" s="10"/>
      <c r="Q1057" s="29">
        <f t="shared" si="366"/>
        <v>32728.2</v>
      </c>
    </row>
    <row r="1058" spans="1:17" ht="12.75">
      <c r="A1058" s="11"/>
      <c r="B1058" s="43"/>
      <c r="C1058" s="39"/>
      <c r="D1058" s="10"/>
      <c r="E1058" s="10" t="s">
        <v>35</v>
      </c>
      <c r="F1058" s="10">
        <v>29501.28</v>
      </c>
      <c r="G1058" s="10"/>
      <c r="H1058" s="10">
        <v>4440</v>
      </c>
      <c r="I1058" s="10"/>
      <c r="J1058" s="10"/>
      <c r="K1058" s="10"/>
      <c r="L1058" s="10"/>
      <c r="M1058" s="10"/>
      <c r="N1058" s="10"/>
      <c r="O1058" s="18">
        <v>1348.69</v>
      </c>
      <c r="P1058" s="10"/>
      <c r="Q1058" s="29">
        <f t="shared" si="366"/>
        <v>35289.97</v>
      </c>
    </row>
    <row r="1059" spans="1:17" ht="12">
      <c r="A1059" s="11"/>
      <c r="B1059" s="43"/>
      <c r="C1059" s="39"/>
      <c r="D1059" s="10"/>
      <c r="E1059" s="14" t="s">
        <v>36</v>
      </c>
      <c r="F1059" s="14">
        <f aca="true" t="shared" si="370" ref="F1059:P1059">SUM(F1056:F1058)</f>
        <v>73343.47</v>
      </c>
      <c r="G1059" s="14">
        <f t="shared" si="370"/>
        <v>0</v>
      </c>
      <c r="H1059" s="14">
        <f t="shared" si="370"/>
        <v>12360</v>
      </c>
      <c r="I1059" s="14">
        <f t="shared" si="370"/>
        <v>0</v>
      </c>
      <c r="J1059" s="14">
        <f t="shared" si="370"/>
        <v>0</v>
      </c>
      <c r="K1059" s="14">
        <f t="shared" si="370"/>
        <v>2452.67</v>
      </c>
      <c r="L1059" s="14">
        <f t="shared" si="370"/>
        <v>0</v>
      </c>
      <c r="M1059" s="14">
        <f t="shared" si="370"/>
        <v>0</v>
      </c>
      <c r="N1059" s="14">
        <f t="shared" si="370"/>
        <v>420.54</v>
      </c>
      <c r="O1059" s="14">
        <f t="shared" si="370"/>
        <v>5439.18</v>
      </c>
      <c r="P1059" s="14">
        <f t="shared" si="370"/>
        <v>0</v>
      </c>
      <c r="Q1059" s="55">
        <f t="shared" si="366"/>
        <v>94015.85999999999</v>
      </c>
    </row>
    <row r="1060" spans="1:17" ht="12.75" thickBot="1">
      <c r="A1060" s="11"/>
      <c r="B1060" s="43"/>
      <c r="C1060" s="39"/>
      <c r="D1060" s="10"/>
      <c r="E1060" s="22" t="s">
        <v>37</v>
      </c>
      <c r="F1060" s="22">
        <f aca="true" t="shared" si="371" ref="F1060:Q1060">F1047+F1051+F1055+F1059</f>
        <v>272586</v>
      </c>
      <c r="G1060" s="22">
        <f t="shared" si="371"/>
        <v>0</v>
      </c>
      <c r="H1060" s="22">
        <f t="shared" si="371"/>
        <v>44510.4</v>
      </c>
      <c r="I1060" s="22">
        <f t="shared" si="371"/>
        <v>0</v>
      </c>
      <c r="J1060" s="22">
        <f t="shared" si="371"/>
        <v>0</v>
      </c>
      <c r="K1060" s="22">
        <f t="shared" si="371"/>
        <v>81310.05</v>
      </c>
      <c r="L1060" s="22">
        <f t="shared" si="371"/>
        <v>0</v>
      </c>
      <c r="M1060" s="22">
        <f t="shared" si="371"/>
        <v>0</v>
      </c>
      <c r="N1060" s="22">
        <f t="shared" si="371"/>
        <v>841.08</v>
      </c>
      <c r="O1060" s="22">
        <f t="shared" si="371"/>
        <v>32039.66</v>
      </c>
      <c r="P1060" s="35">
        <f t="shared" si="371"/>
        <v>0</v>
      </c>
      <c r="Q1060" s="23">
        <f t="shared" si="371"/>
        <v>431287.19</v>
      </c>
    </row>
    <row r="1061" spans="1:17" ht="12">
      <c r="A1061" s="11">
        <v>63</v>
      </c>
      <c r="B1061" s="43">
        <v>108</v>
      </c>
      <c r="C1061" s="39">
        <v>5143</v>
      </c>
      <c r="D1061" s="38" t="s">
        <v>160</v>
      </c>
      <c r="E1061" s="10" t="s">
        <v>21</v>
      </c>
      <c r="F1061" s="10">
        <v>5038.88</v>
      </c>
      <c r="G1061" s="10"/>
      <c r="H1061" s="10"/>
      <c r="I1061" s="10"/>
      <c r="J1061" s="10"/>
      <c r="K1061" s="10"/>
      <c r="L1061" s="10"/>
      <c r="M1061" s="10"/>
      <c r="N1061" s="10">
        <v>420.53</v>
      </c>
      <c r="O1061" s="10"/>
      <c r="P1061" s="10"/>
      <c r="Q1061" s="29">
        <f aca="true" t="shared" si="372" ref="Q1061:Q1076">SUM(F1061:P1061)</f>
        <v>5459.41</v>
      </c>
    </row>
    <row r="1062" spans="1:17" ht="12">
      <c r="A1062" s="11"/>
      <c r="B1062" s="43"/>
      <c r="C1062" s="39"/>
      <c r="D1062" s="10"/>
      <c r="E1062" s="10" t="s">
        <v>22</v>
      </c>
      <c r="F1062" s="10">
        <v>16627.3</v>
      </c>
      <c r="G1062" s="10"/>
      <c r="H1062" s="10">
        <v>600</v>
      </c>
      <c r="I1062" s="10"/>
      <c r="J1062" s="10"/>
      <c r="K1062" s="10">
        <v>219.38</v>
      </c>
      <c r="L1062" s="10"/>
      <c r="M1062" s="10"/>
      <c r="N1062" s="10"/>
      <c r="O1062" s="10"/>
      <c r="P1062" s="10"/>
      <c r="Q1062" s="29">
        <f t="shared" si="372"/>
        <v>17446.68</v>
      </c>
    </row>
    <row r="1063" spans="1:17" ht="12">
      <c r="A1063" s="11"/>
      <c r="B1063" s="43"/>
      <c r="C1063" s="39"/>
      <c r="D1063" s="10"/>
      <c r="E1063" s="10" t="s">
        <v>23</v>
      </c>
      <c r="F1063" s="10">
        <v>44384.41</v>
      </c>
      <c r="G1063" s="10"/>
      <c r="H1063" s="10">
        <v>3480</v>
      </c>
      <c r="I1063" s="10"/>
      <c r="J1063" s="10"/>
      <c r="K1063" s="10"/>
      <c r="L1063" s="10"/>
      <c r="M1063" s="10"/>
      <c r="N1063" s="10"/>
      <c r="O1063" s="10"/>
      <c r="P1063" s="10"/>
      <c r="Q1063" s="29">
        <f t="shared" si="372"/>
        <v>47864.41</v>
      </c>
    </row>
    <row r="1064" spans="1:17" ht="12">
      <c r="A1064" s="11"/>
      <c r="B1064" s="43"/>
      <c r="C1064" s="39"/>
      <c r="D1064" s="10"/>
      <c r="E1064" s="14" t="s">
        <v>24</v>
      </c>
      <c r="F1064" s="14">
        <f aca="true" t="shared" si="373" ref="F1064:P1064">SUM(F1061:F1063)</f>
        <v>66050.59</v>
      </c>
      <c r="G1064" s="14">
        <f t="shared" si="373"/>
        <v>0</v>
      </c>
      <c r="H1064" s="14">
        <f t="shared" si="373"/>
        <v>4080</v>
      </c>
      <c r="I1064" s="14">
        <f t="shared" si="373"/>
        <v>0</v>
      </c>
      <c r="J1064" s="14">
        <f t="shared" si="373"/>
        <v>0</v>
      </c>
      <c r="K1064" s="14">
        <f t="shared" si="373"/>
        <v>219.38</v>
      </c>
      <c r="L1064" s="14">
        <f t="shared" si="373"/>
        <v>0</v>
      </c>
      <c r="M1064" s="14">
        <f t="shared" si="373"/>
        <v>0</v>
      </c>
      <c r="N1064" s="14">
        <f t="shared" si="373"/>
        <v>420.53</v>
      </c>
      <c r="O1064" s="14">
        <f t="shared" si="373"/>
        <v>0</v>
      </c>
      <c r="P1064" s="14">
        <f t="shared" si="373"/>
        <v>0</v>
      </c>
      <c r="Q1064" s="55">
        <f t="shared" si="372"/>
        <v>70770.5</v>
      </c>
    </row>
    <row r="1065" spans="1:17" ht="12">
      <c r="A1065" s="11"/>
      <c r="B1065" s="43"/>
      <c r="C1065" s="39"/>
      <c r="D1065" s="10"/>
      <c r="E1065" s="10" t="s">
        <v>25</v>
      </c>
      <c r="F1065" s="10">
        <v>40170.71</v>
      </c>
      <c r="G1065" s="10"/>
      <c r="H1065" s="10">
        <v>2520</v>
      </c>
      <c r="I1065" s="10"/>
      <c r="J1065" s="10"/>
      <c r="K1065" s="10"/>
      <c r="L1065" s="10"/>
      <c r="M1065" s="10"/>
      <c r="N1065" s="10"/>
      <c r="O1065" s="10"/>
      <c r="P1065" s="10"/>
      <c r="Q1065" s="29">
        <f t="shared" si="372"/>
        <v>42690.71</v>
      </c>
    </row>
    <row r="1066" spans="1:17" ht="12">
      <c r="A1066" s="11"/>
      <c r="B1066" s="43"/>
      <c r="C1066" s="39"/>
      <c r="D1066" s="10"/>
      <c r="E1066" s="10" t="s">
        <v>26</v>
      </c>
      <c r="F1066" s="10">
        <v>53788.51</v>
      </c>
      <c r="G1066" s="10"/>
      <c r="H1066" s="10">
        <v>4080</v>
      </c>
      <c r="I1066" s="10"/>
      <c r="J1066" s="10">
        <v>420</v>
      </c>
      <c r="K1066" s="10">
        <v>396.45</v>
      </c>
      <c r="L1066" s="10"/>
      <c r="M1066" s="10"/>
      <c r="N1066" s="10"/>
      <c r="O1066" s="10"/>
      <c r="P1066" s="10"/>
      <c r="Q1066" s="29">
        <f t="shared" si="372"/>
        <v>58684.96</v>
      </c>
    </row>
    <row r="1067" spans="1:17" ht="12">
      <c r="A1067" s="11"/>
      <c r="B1067" s="43"/>
      <c r="C1067" s="39"/>
      <c r="D1067" s="10"/>
      <c r="E1067" s="10" t="s">
        <v>27</v>
      </c>
      <c r="F1067" s="10">
        <v>72189.23</v>
      </c>
      <c r="G1067" s="10"/>
      <c r="H1067" s="10">
        <v>6600</v>
      </c>
      <c r="I1067" s="10"/>
      <c r="J1067" s="10"/>
      <c r="K1067" s="10">
        <v>219.38</v>
      </c>
      <c r="L1067" s="10"/>
      <c r="M1067" s="10"/>
      <c r="N1067" s="10"/>
      <c r="O1067" s="10"/>
      <c r="P1067" s="10"/>
      <c r="Q1067" s="29">
        <f t="shared" si="372"/>
        <v>79008.61</v>
      </c>
    </row>
    <row r="1068" spans="1:17" ht="12">
      <c r="A1068" s="11"/>
      <c r="B1068" s="43"/>
      <c r="C1068" s="39"/>
      <c r="D1068" s="10"/>
      <c r="E1068" s="14" t="s">
        <v>28</v>
      </c>
      <c r="F1068" s="14">
        <f aca="true" t="shared" si="374" ref="F1068:P1068">SUM(F1065:F1067)</f>
        <v>166148.45</v>
      </c>
      <c r="G1068" s="14">
        <f t="shared" si="374"/>
        <v>0</v>
      </c>
      <c r="H1068" s="14">
        <f t="shared" si="374"/>
        <v>13200</v>
      </c>
      <c r="I1068" s="14">
        <f t="shared" si="374"/>
        <v>0</v>
      </c>
      <c r="J1068" s="14">
        <f t="shared" si="374"/>
        <v>420</v>
      </c>
      <c r="K1068" s="14">
        <f t="shared" si="374"/>
        <v>615.8299999999999</v>
      </c>
      <c r="L1068" s="14">
        <f t="shared" si="374"/>
        <v>0</v>
      </c>
      <c r="M1068" s="14">
        <f t="shared" si="374"/>
        <v>0</v>
      </c>
      <c r="N1068" s="14">
        <f t="shared" si="374"/>
        <v>0</v>
      </c>
      <c r="O1068" s="14">
        <f t="shared" si="374"/>
        <v>0</v>
      </c>
      <c r="P1068" s="14">
        <f t="shared" si="374"/>
        <v>0</v>
      </c>
      <c r="Q1068" s="55">
        <f t="shared" si="372"/>
        <v>180384.28</v>
      </c>
    </row>
    <row r="1069" spans="1:17" ht="12">
      <c r="A1069" s="11"/>
      <c r="B1069" s="43"/>
      <c r="C1069" s="39"/>
      <c r="D1069" s="10"/>
      <c r="E1069" s="10" t="s">
        <v>29</v>
      </c>
      <c r="F1069" s="3">
        <v>60343.31</v>
      </c>
      <c r="G1069" s="10"/>
      <c r="H1069" s="10">
        <v>4320</v>
      </c>
      <c r="I1069" s="10"/>
      <c r="J1069" s="10"/>
      <c r="K1069" s="10">
        <v>1096.9</v>
      </c>
      <c r="L1069" s="10"/>
      <c r="M1069" s="10"/>
      <c r="N1069" s="10"/>
      <c r="O1069" s="10"/>
      <c r="P1069" s="10"/>
      <c r="Q1069" s="29">
        <f t="shared" si="372"/>
        <v>65760.20999999999</v>
      </c>
    </row>
    <row r="1070" spans="1:17" ht="12.75">
      <c r="A1070" s="11"/>
      <c r="B1070" s="43"/>
      <c r="C1070" s="39"/>
      <c r="D1070" s="10"/>
      <c r="E1070" s="10" t="s">
        <v>30</v>
      </c>
      <c r="F1070" s="10">
        <v>65293.64</v>
      </c>
      <c r="G1070" s="10"/>
      <c r="H1070" s="10">
        <v>3840</v>
      </c>
      <c r="I1070" s="10"/>
      <c r="J1070" s="17">
        <v>420</v>
      </c>
      <c r="K1070" s="10">
        <v>614.56</v>
      </c>
      <c r="L1070" s="10"/>
      <c r="M1070" s="10"/>
      <c r="N1070" s="10"/>
      <c r="O1070" s="10"/>
      <c r="P1070" s="10"/>
      <c r="Q1070" s="29">
        <f t="shared" si="372"/>
        <v>70168.2</v>
      </c>
    </row>
    <row r="1071" spans="1:17" ht="12">
      <c r="A1071" s="11"/>
      <c r="B1071" s="43"/>
      <c r="C1071" s="39"/>
      <c r="D1071" s="10"/>
      <c r="E1071" s="10" t="s">
        <v>31</v>
      </c>
      <c r="F1071" s="10">
        <v>69544.35</v>
      </c>
      <c r="G1071" s="10"/>
      <c r="H1071" s="10">
        <v>4680</v>
      </c>
      <c r="I1071" s="10"/>
      <c r="J1071" s="10"/>
      <c r="K1071" s="10">
        <v>267.55</v>
      </c>
      <c r="L1071" s="10"/>
      <c r="M1071" s="10"/>
      <c r="N1071" s="10"/>
      <c r="O1071" s="10"/>
      <c r="P1071" s="10"/>
      <c r="Q1071" s="29">
        <f t="shared" si="372"/>
        <v>74491.90000000001</v>
      </c>
    </row>
    <row r="1072" spans="1:17" ht="12">
      <c r="A1072" s="11"/>
      <c r="B1072" s="43"/>
      <c r="C1072" s="39"/>
      <c r="D1072" s="10"/>
      <c r="E1072" s="14" t="s">
        <v>32</v>
      </c>
      <c r="F1072" s="14">
        <f aca="true" t="shared" si="375" ref="F1072:P1072">SUM(F1069:F1071)</f>
        <v>195181.3</v>
      </c>
      <c r="G1072" s="14">
        <f t="shared" si="375"/>
        <v>0</v>
      </c>
      <c r="H1072" s="14">
        <f t="shared" si="375"/>
        <v>12840</v>
      </c>
      <c r="I1072" s="14">
        <f t="shared" si="375"/>
        <v>0</v>
      </c>
      <c r="J1072" s="14">
        <f t="shared" si="375"/>
        <v>420</v>
      </c>
      <c r="K1072" s="14">
        <f t="shared" si="375"/>
        <v>1979.01</v>
      </c>
      <c r="L1072" s="14">
        <f t="shared" si="375"/>
        <v>0</v>
      </c>
      <c r="M1072" s="14">
        <f t="shared" si="375"/>
        <v>0</v>
      </c>
      <c r="N1072" s="14">
        <f t="shared" si="375"/>
        <v>0</v>
      </c>
      <c r="O1072" s="14">
        <f t="shared" si="375"/>
        <v>0</v>
      </c>
      <c r="P1072" s="14">
        <f t="shared" si="375"/>
        <v>0</v>
      </c>
      <c r="Q1072" s="55">
        <f t="shared" si="372"/>
        <v>210420.31</v>
      </c>
    </row>
    <row r="1073" spans="1:17" ht="12">
      <c r="A1073" s="11"/>
      <c r="B1073" s="43"/>
      <c r="C1073" s="39"/>
      <c r="D1073" s="10"/>
      <c r="E1073" s="10" t="s">
        <v>33</v>
      </c>
      <c r="F1073" s="10">
        <v>82315.96</v>
      </c>
      <c r="G1073" s="10"/>
      <c r="H1073" s="10">
        <v>5280</v>
      </c>
      <c r="I1073" s="10"/>
      <c r="J1073" s="10"/>
      <c r="K1073" s="10">
        <v>1073.38</v>
      </c>
      <c r="L1073" s="10"/>
      <c r="M1073" s="10"/>
      <c r="N1073" s="10"/>
      <c r="O1073" s="10"/>
      <c r="P1073" s="10"/>
      <c r="Q1073" s="29">
        <f t="shared" si="372"/>
        <v>88669.34000000001</v>
      </c>
    </row>
    <row r="1074" spans="1:17" ht="12">
      <c r="A1074" s="11"/>
      <c r="B1074" s="43"/>
      <c r="C1074" s="39"/>
      <c r="D1074" s="10"/>
      <c r="E1074" s="10" t="s">
        <v>34</v>
      </c>
      <c r="F1074" s="10">
        <v>73544.98</v>
      </c>
      <c r="G1074" s="10"/>
      <c r="H1074" s="10">
        <v>5160</v>
      </c>
      <c r="I1074" s="10"/>
      <c r="J1074" s="10">
        <v>1320</v>
      </c>
      <c r="K1074" s="10">
        <v>604</v>
      </c>
      <c r="L1074" s="10"/>
      <c r="M1074" s="10"/>
      <c r="N1074" s="10"/>
      <c r="O1074" s="10"/>
      <c r="P1074" s="10"/>
      <c r="Q1074" s="29">
        <f t="shared" si="372"/>
        <v>80628.98</v>
      </c>
    </row>
    <row r="1075" spans="1:17" ht="12.75">
      <c r="A1075" s="11"/>
      <c r="B1075" s="43"/>
      <c r="C1075" s="39"/>
      <c r="D1075" s="10"/>
      <c r="E1075" s="10" t="s">
        <v>35</v>
      </c>
      <c r="F1075" s="10">
        <f>83750.22</f>
        <v>83750.22</v>
      </c>
      <c r="G1075" s="10"/>
      <c r="H1075" s="10">
        <v>7200</v>
      </c>
      <c r="I1075" s="10"/>
      <c r="J1075" s="18">
        <v>420</v>
      </c>
      <c r="K1075" s="10"/>
      <c r="L1075" s="10"/>
      <c r="M1075" s="10"/>
      <c r="N1075" s="10"/>
      <c r="O1075" s="10"/>
      <c r="P1075" s="10"/>
      <c r="Q1075" s="29">
        <f t="shared" si="372"/>
        <v>91370.22</v>
      </c>
    </row>
    <row r="1076" spans="1:17" ht="12">
      <c r="A1076" s="11"/>
      <c r="B1076" s="43"/>
      <c r="C1076" s="39"/>
      <c r="D1076" s="10"/>
      <c r="E1076" s="14" t="s">
        <v>36</v>
      </c>
      <c r="F1076" s="14">
        <f aca="true" t="shared" si="376" ref="F1076:P1076">SUM(F1073:F1075)</f>
        <v>239611.16</v>
      </c>
      <c r="G1076" s="14">
        <f t="shared" si="376"/>
        <v>0</v>
      </c>
      <c r="H1076" s="14">
        <f t="shared" si="376"/>
        <v>17640</v>
      </c>
      <c r="I1076" s="14">
        <f t="shared" si="376"/>
        <v>0</v>
      </c>
      <c r="J1076" s="14">
        <f t="shared" si="376"/>
        <v>1740</v>
      </c>
      <c r="K1076" s="14">
        <f t="shared" si="376"/>
        <v>1677.38</v>
      </c>
      <c r="L1076" s="14">
        <f t="shared" si="376"/>
        <v>0</v>
      </c>
      <c r="M1076" s="14">
        <f t="shared" si="376"/>
        <v>0</v>
      </c>
      <c r="N1076" s="14">
        <f t="shared" si="376"/>
        <v>0</v>
      </c>
      <c r="O1076" s="14">
        <f t="shared" si="376"/>
        <v>0</v>
      </c>
      <c r="P1076" s="14">
        <f t="shared" si="376"/>
        <v>0</v>
      </c>
      <c r="Q1076" s="55">
        <f t="shared" si="372"/>
        <v>260668.54</v>
      </c>
    </row>
    <row r="1077" spans="1:17" ht="12.75" thickBot="1">
      <c r="A1077" s="11"/>
      <c r="B1077" s="43"/>
      <c r="C1077" s="39"/>
      <c r="D1077" s="10"/>
      <c r="E1077" s="22" t="s">
        <v>37</v>
      </c>
      <c r="F1077" s="14">
        <f aca="true" t="shared" si="377" ref="F1077:Q1077">F1064+F1068+F1072+F1076</f>
        <v>666991.5</v>
      </c>
      <c r="G1077" s="14">
        <f t="shared" si="377"/>
        <v>0</v>
      </c>
      <c r="H1077" s="14">
        <f t="shared" si="377"/>
        <v>47760</v>
      </c>
      <c r="I1077" s="14">
        <f t="shared" si="377"/>
        <v>0</v>
      </c>
      <c r="J1077" s="14">
        <f t="shared" si="377"/>
        <v>2580</v>
      </c>
      <c r="K1077" s="14">
        <f t="shared" si="377"/>
        <v>4491.6</v>
      </c>
      <c r="L1077" s="14">
        <f t="shared" si="377"/>
        <v>0</v>
      </c>
      <c r="M1077" s="14">
        <f t="shared" si="377"/>
        <v>0</v>
      </c>
      <c r="N1077" s="14">
        <f t="shared" si="377"/>
        <v>420.53</v>
      </c>
      <c r="O1077" s="14">
        <f t="shared" si="377"/>
        <v>0</v>
      </c>
      <c r="P1077" s="14">
        <f t="shared" si="377"/>
        <v>0</v>
      </c>
      <c r="Q1077" s="23">
        <f t="shared" si="377"/>
        <v>722243.63</v>
      </c>
    </row>
    <row r="1078" spans="1:17" ht="12">
      <c r="A1078" s="11" t="s">
        <v>161</v>
      </c>
      <c r="B1078" s="43">
        <v>109</v>
      </c>
      <c r="C1078" s="39" t="s">
        <v>162</v>
      </c>
      <c r="D1078" s="38" t="s">
        <v>163</v>
      </c>
      <c r="E1078" s="10" t="s">
        <v>21</v>
      </c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29">
        <f aca="true" t="shared" si="378" ref="Q1078:Q1093">SUM(F1078:P1078)</f>
        <v>0</v>
      </c>
    </row>
    <row r="1079" spans="1:17" ht="12">
      <c r="A1079" s="11"/>
      <c r="B1079" s="43"/>
      <c r="C1079" s="39"/>
      <c r="D1079" s="10"/>
      <c r="E1079" s="10" t="s">
        <v>22</v>
      </c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29">
        <f t="shared" si="378"/>
        <v>0</v>
      </c>
    </row>
    <row r="1080" spans="1:17" ht="12">
      <c r="A1080" s="11"/>
      <c r="B1080" s="43"/>
      <c r="C1080" s="39"/>
      <c r="D1080" s="10"/>
      <c r="E1080" s="10" t="s">
        <v>23</v>
      </c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29">
        <f t="shared" si="378"/>
        <v>0</v>
      </c>
    </row>
    <row r="1081" spans="1:17" ht="12">
      <c r="A1081" s="11"/>
      <c r="B1081" s="43"/>
      <c r="C1081" s="39"/>
      <c r="D1081" s="10"/>
      <c r="E1081" s="14" t="s">
        <v>24</v>
      </c>
      <c r="F1081" s="14">
        <f aca="true" t="shared" si="379" ref="F1081:P1081">SUM(F1078:F1080)</f>
        <v>0</v>
      </c>
      <c r="G1081" s="14">
        <f t="shared" si="379"/>
        <v>0</v>
      </c>
      <c r="H1081" s="14">
        <f t="shared" si="379"/>
        <v>0</v>
      </c>
      <c r="I1081" s="14">
        <f t="shared" si="379"/>
        <v>0</v>
      </c>
      <c r="J1081" s="14">
        <f t="shared" si="379"/>
        <v>0</v>
      </c>
      <c r="K1081" s="14">
        <f t="shared" si="379"/>
        <v>0</v>
      </c>
      <c r="L1081" s="14">
        <f t="shared" si="379"/>
        <v>0</v>
      </c>
      <c r="M1081" s="14">
        <f t="shared" si="379"/>
        <v>0</v>
      </c>
      <c r="N1081" s="14">
        <f t="shared" si="379"/>
        <v>0</v>
      </c>
      <c r="O1081" s="14">
        <f t="shared" si="379"/>
        <v>0</v>
      </c>
      <c r="P1081" s="14">
        <f t="shared" si="379"/>
        <v>0</v>
      </c>
      <c r="Q1081" s="55">
        <f t="shared" si="378"/>
        <v>0</v>
      </c>
    </row>
    <row r="1082" spans="1:17" ht="12">
      <c r="A1082" s="11"/>
      <c r="B1082" s="43"/>
      <c r="C1082" s="39"/>
      <c r="D1082" s="10"/>
      <c r="E1082" s="10" t="s">
        <v>25</v>
      </c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29">
        <f t="shared" si="378"/>
        <v>0</v>
      </c>
    </row>
    <row r="1083" spans="1:17" ht="12">
      <c r="A1083" s="11"/>
      <c r="B1083" s="43"/>
      <c r="C1083" s="39"/>
      <c r="D1083" s="10"/>
      <c r="E1083" s="10" t="s">
        <v>26</v>
      </c>
      <c r="F1083" s="10">
        <v>758.85</v>
      </c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29">
        <f t="shared" si="378"/>
        <v>758.85</v>
      </c>
    </row>
    <row r="1084" spans="1:17" ht="12">
      <c r="A1084" s="11"/>
      <c r="B1084" s="43"/>
      <c r="C1084" s="39"/>
      <c r="D1084" s="10"/>
      <c r="E1084" s="10" t="s">
        <v>27</v>
      </c>
      <c r="F1084" s="10">
        <v>361.23</v>
      </c>
      <c r="G1084" s="10"/>
      <c r="H1084" s="10"/>
      <c r="I1084" s="10"/>
      <c r="J1084" s="10"/>
      <c r="K1084" s="10">
        <v>439.71</v>
      </c>
      <c r="L1084" s="10"/>
      <c r="M1084" s="10"/>
      <c r="N1084" s="10"/>
      <c r="O1084" s="10"/>
      <c r="P1084" s="10"/>
      <c r="Q1084" s="29">
        <f t="shared" si="378"/>
        <v>800.94</v>
      </c>
    </row>
    <row r="1085" spans="1:17" ht="12">
      <c r="A1085" s="11"/>
      <c r="B1085" s="43"/>
      <c r="C1085" s="39"/>
      <c r="D1085" s="10"/>
      <c r="E1085" s="14" t="s">
        <v>28</v>
      </c>
      <c r="F1085" s="14">
        <f aca="true" t="shared" si="380" ref="F1085:P1085">SUM(F1082:F1084)</f>
        <v>1120.08</v>
      </c>
      <c r="G1085" s="14">
        <f t="shared" si="380"/>
        <v>0</v>
      </c>
      <c r="H1085" s="14">
        <f t="shared" si="380"/>
        <v>0</v>
      </c>
      <c r="I1085" s="14">
        <f t="shared" si="380"/>
        <v>0</v>
      </c>
      <c r="J1085" s="14">
        <f t="shared" si="380"/>
        <v>0</v>
      </c>
      <c r="K1085" s="14">
        <f t="shared" si="380"/>
        <v>439.71</v>
      </c>
      <c r="L1085" s="14">
        <f t="shared" si="380"/>
        <v>0</v>
      </c>
      <c r="M1085" s="14">
        <f t="shared" si="380"/>
        <v>0</v>
      </c>
      <c r="N1085" s="14">
        <f t="shared" si="380"/>
        <v>0</v>
      </c>
      <c r="O1085" s="14">
        <f t="shared" si="380"/>
        <v>0</v>
      </c>
      <c r="P1085" s="14">
        <f t="shared" si="380"/>
        <v>0</v>
      </c>
      <c r="Q1085" s="55">
        <f t="shared" si="378"/>
        <v>1559.79</v>
      </c>
    </row>
    <row r="1086" spans="1:17" ht="12">
      <c r="A1086" s="11"/>
      <c r="B1086" s="43"/>
      <c r="C1086" s="39"/>
      <c r="D1086" s="10"/>
      <c r="E1086" s="10" t="s">
        <v>29</v>
      </c>
      <c r="F1086" s="3">
        <v>520.54</v>
      </c>
      <c r="G1086" s="10"/>
      <c r="H1086" s="10"/>
      <c r="I1086" s="10"/>
      <c r="J1086" s="10"/>
      <c r="K1086" s="10">
        <v>439.71</v>
      </c>
      <c r="L1086" s="10"/>
      <c r="M1086" s="10"/>
      <c r="N1086" s="10"/>
      <c r="O1086" s="10"/>
      <c r="P1086" s="10"/>
      <c r="Q1086" s="29">
        <f t="shared" si="378"/>
        <v>960.25</v>
      </c>
    </row>
    <row r="1087" spans="1:17" ht="12.75">
      <c r="A1087" s="11"/>
      <c r="B1087" s="43"/>
      <c r="C1087" s="39"/>
      <c r="D1087" s="10"/>
      <c r="E1087" s="10" t="s">
        <v>30</v>
      </c>
      <c r="F1087" s="17">
        <v>323.13</v>
      </c>
      <c r="G1087" s="10"/>
      <c r="H1087" s="10"/>
      <c r="I1087" s="10"/>
      <c r="J1087" s="10"/>
      <c r="K1087" s="17">
        <v>439.71</v>
      </c>
      <c r="L1087" s="10"/>
      <c r="M1087" s="10"/>
      <c r="N1087" s="10"/>
      <c r="O1087" s="10"/>
      <c r="P1087" s="10"/>
      <c r="Q1087" s="29">
        <f t="shared" si="378"/>
        <v>762.8399999999999</v>
      </c>
    </row>
    <row r="1088" spans="1:17" ht="12.75">
      <c r="A1088" s="11"/>
      <c r="B1088" s="43"/>
      <c r="C1088" s="39"/>
      <c r="D1088" s="10"/>
      <c r="E1088" s="10" t="s">
        <v>31</v>
      </c>
      <c r="F1088" s="17">
        <v>592.25</v>
      </c>
      <c r="G1088" s="10"/>
      <c r="H1088" s="10"/>
      <c r="I1088" s="10"/>
      <c r="J1088" s="10"/>
      <c r="K1088" s="17">
        <v>439.71</v>
      </c>
      <c r="L1088" s="10"/>
      <c r="M1088" s="10"/>
      <c r="N1088" s="10"/>
      <c r="O1088" s="10"/>
      <c r="P1088" s="10"/>
      <c r="Q1088" s="29">
        <f t="shared" si="378"/>
        <v>1031.96</v>
      </c>
    </row>
    <row r="1089" spans="1:17" ht="12">
      <c r="A1089" s="11"/>
      <c r="B1089" s="43"/>
      <c r="C1089" s="39"/>
      <c r="D1089" s="10"/>
      <c r="E1089" s="14" t="s">
        <v>32</v>
      </c>
      <c r="F1089" s="14">
        <f aca="true" t="shared" si="381" ref="F1089:P1089">SUM(F1086:F1088)</f>
        <v>1435.92</v>
      </c>
      <c r="G1089" s="14">
        <f t="shared" si="381"/>
        <v>0</v>
      </c>
      <c r="H1089" s="14">
        <f t="shared" si="381"/>
        <v>0</v>
      </c>
      <c r="I1089" s="14">
        <f t="shared" si="381"/>
        <v>0</v>
      </c>
      <c r="J1089" s="14">
        <f t="shared" si="381"/>
        <v>0</v>
      </c>
      <c r="K1089" s="14">
        <f t="shared" si="381"/>
        <v>1319.1299999999999</v>
      </c>
      <c r="L1089" s="14">
        <f t="shared" si="381"/>
        <v>0</v>
      </c>
      <c r="M1089" s="14">
        <f t="shared" si="381"/>
        <v>0</v>
      </c>
      <c r="N1089" s="14">
        <f t="shared" si="381"/>
        <v>0</v>
      </c>
      <c r="O1089" s="14">
        <f t="shared" si="381"/>
        <v>0</v>
      </c>
      <c r="P1089" s="14">
        <f t="shared" si="381"/>
        <v>0</v>
      </c>
      <c r="Q1089" s="55">
        <f t="shared" si="378"/>
        <v>2755.05</v>
      </c>
    </row>
    <row r="1090" spans="1:17" ht="12.75">
      <c r="A1090" s="11"/>
      <c r="B1090" s="43"/>
      <c r="C1090" s="39"/>
      <c r="D1090" s="10"/>
      <c r="E1090" s="10" t="s">
        <v>33</v>
      </c>
      <c r="F1090" s="10">
        <v>1138.18</v>
      </c>
      <c r="G1090" s="10"/>
      <c r="H1090" s="17">
        <v>120</v>
      </c>
      <c r="I1090" s="10"/>
      <c r="J1090" s="10"/>
      <c r="K1090" s="17">
        <v>439.71</v>
      </c>
      <c r="L1090" s="10"/>
      <c r="M1090" s="10"/>
      <c r="N1090" s="10"/>
      <c r="O1090" s="10"/>
      <c r="P1090" s="10"/>
      <c r="Q1090" s="29">
        <f t="shared" si="378"/>
        <v>1697.89</v>
      </c>
    </row>
    <row r="1091" spans="1:17" ht="12.75">
      <c r="A1091" s="11"/>
      <c r="B1091" s="43"/>
      <c r="C1091" s="39"/>
      <c r="D1091" s="10"/>
      <c r="E1091" s="10" t="s">
        <v>34</v>
      </c>
      <c r="F1091" s="17">
        <v>360.33</v>
      </c>
      <c r="G1091" s="10"/>
      <c r="H1091" s="10"/>
      <c r="I1091" s="10"/>
      <c r="J1091" s="10"/>
      <c r="K1091" s="17">
        <v>439.71</v>
      </c>
      <c r="L1091" s="10"/>
      <c r="M1091" s="10"/>
      <c r="N1091" s="10"/>
      <c r="O1091" s="10"/>
      <c r="P1091" s="10"/>
      <c r="Q1091" s="29">
        <f t="shared" si="378"/>
        <v>800.04</v>
      </c>
    </row>
    <row r="1092" spans="1:17" ht="12.75">
      <c r="A1092" s="11"/>
      <c r="B1092" s="43"/>
      <c r="C1092" s="39"/>
      <c r="D1092" s="10"/>
      <c r="E1092" s="10" t="s">
        <v>35</v>
      </c>
      <c r="F1092" s="18">
        <v>438.06</v>
      </c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29">
        <f t="shared" si="378"/>
        <v>438.06</v>
      </c>
    </row>
    <row r="1093" spans="1:17" ht="12">
      <c r="A1093" s="11"/>
      <c r="B1093" s="43"/>
      <c r="C1093" s="39"/>
      <c r="D1093" s="10"/>
      <c r="E1093" s="14" t="s">
        <v>36</v>
      </c>
      <c r="F1093" s="14">
        <f aca="true" t="shared" si="382" ref="F1093:P1093">SUM(F1090:F1092)</f>
        <v>1936.57</v>
      </c>
      <c r="G1093" s="14">
        <f t="shared" si="382"/>
        <v>0</v>
      </c>
      <c r="H1093" s="14">
        <f t="shared" si="382"/>
        <v>120</v>
      </c>
      <c r="I1093" s="14">
        <f t="shared" si="382"/>
        <v>0</v>
      </c>
      <c r="J1093" s="14">
        <f t="shared" si="382"/>
        <v>0</v>
      </c>
      <c r="K1093" s="14">
        <f t="shared" si="382"/>
        <v>879.42</v>
      </c>
      <c r="L1093" s="14">
        <f t="shared" si="382"/>
        <v>0</v>
      </c>
      <c r="M1093" s="14">
        <f t="shared" si="382"/>
        <v>0</v>
      </c>
      <c r="N1093" s="14">
        <f t="shared" si="382"/>
        <v>0</v>
      </c>
      <c r="O1093" s="14">
        <f t="shared" si="382"/>
        <v>0</v>
      </c>
      <c r="P1093" s="14">
        <f t="shared" si="382"/>
        <v>0</v>
      </c>
      <c r="Q1093" s="55">
        <f t="shared" si="378"/>
        <v>2935.99</v>
      </c>
    </row>
    <row r="1094" spans="1:17" ht="12.75" thickBot="1">
      <c r="A1094" s="65"/>
      <c r="B1094" s="46"/>
      <c r="C1094" s="47"/>
      <c r="D1094" s="48"/>
      <c r="E1094" s="49" t="s">
        <v>37</v>
      </c>
      <c r="F1094" s="49">
        <f aca="true" t="shared" si="383" ref="F1094:Q1094">F1081+F1085+F1089+F1093</f>
        <v>4492.57</v>
      </c>
      <c r="G1094" s="49">
        <f t="shared" si="383"/>
        <v>0</v>
      </c>
      <c r="H1094" s="49">
        <f t="shared" si="383"/>
        <v>120</v>
      </c>
      <c r="I1094" s="49">
        <f t="shared" si="383"/>
        <v>0</v>
      </c>
      <c r="J1094" s="49">
        <f t="shared" si="383"/>
        <v>0</v>
      </c>
      <c r="K1094" s="49">
        <f t="shared" si="383"/>
        <v>2638.2599999999998</v>
      </c>
      <c r="L1094" s="49">
        <f t="shared" si="383"/>
        <v>0</v>
      </c>
      <c r="M1094" s="49">
        <f t="shared" si="383"/>
        <v>0</v>
      </c>
      <c r="N1094" s="49">
        <f t="shared" si="383"/>
        <v>0</v>
      </c>
      <c r="O1094" s="49">
        <f t="shared" si="383"/>
        <v>0</v>
      </c>
      <c r="P1094" s="50">
        <f t="shared" si="383"/>
        <v>0</v>
      </c>
      <c r="Q1094" s="51">
        <f t="shared" si="383"/>
        <v>7250.83</v>
      </c>
    </row>
    <row r="1095" spans="1:17" ht="12">
      <c r="A1095" s="5"/>
      <c r="B1095" s="52"/>
      <c r="C1095" s="53" t="s">
        <v>162</v>
      </c>
      <c r="D1095" s="54" t="s">
        <v>14</v>
      </c>
      <c r="E1095" s="8" t="s">
        <v>21</v>
      </c>
      <c r="F1095" s="8">
        <f aca="true" t="shared" si="384" ref="F1095:P1095">F1078+F1061+F1044+F1027+F1010+F993+F976+F959+F942+F925+F908+F891+F874+F857+F840+F823+F806+F789+F772+F755+F738+F721+F704+F687+F670+F653+F636+F619+F602+F585+F568+F551+F534+F517+F500+F483+F466+F449+F432+F415+F398+F381+F364+F347+F330+F313+F296+F279+F262+F245+F228+F211+F194+F177+F160+F143+F126+F109+F92+F75+F58+F41+F24+F7</f>
        <v>1377912.5199999998</v>
      </c>
      <c r="G1095" s="8">
        <f t="shared" si="384"/>
        <v>344759.78</v>
      </c>
      <c r="H1095" s="8">
        <f t="shared" si="384"/>
        <v>126142.8</v>
      </c>
      <c r="I1095" s="8">
        <f t="shared" si="384"/>
        <v>25082.8</v>
      </c>
      <c r="J1095" s="8">
        <f t="shared" si="384"/>
        <v>8280</v>
      </c>
      <c r="K1095" s="8">
        <f t="shared" si="384"/>
        <v>645711.26</v>
      </c>
      <c r="L1095" s="8">
        <f t="shared" si="384"/>
        <v>453047.86999999994</v>
      </c>
      <c r="M1095" s="8">
        <f t="shared" si="384"/>
        <v>0</v>
      </c>
      <c r="N1095" s="8">
        <f t="shared" si="384"/>
        <v>3364.29</v>
      </c>
      <c r="O1095" s="8">
        <f t="shared" si="384"/>
        <v>77044.85</v>
      </c>
      <c r="P1095" s="8">
        <f t="shared" si="384"/>
        <v>119764.27999999998</v>
      </c>
      <c r="Q1095" s="26">
        <f aca="true" t="shared" si="385" ref="Q1095:Q1110">SUM(F1095:P1095)</f>
        <v>3181110.45</v>
      </c>
    </row>
    <row r="1096" spans="1:17" ht="12">
      <c r="A1096" s="11"/>
      <c r="B1096" s="43"/>
      <c r="C1096" s="39"/>
      <c r="D1096" s="10"/>
      <c r="E1096" s="10" t="s">
        <v>22</v>
      </c>
      <c r="F1096" s="10">
        <f aca="true" t="shared" si="386" ref="F1096:P1096">F1079+F1062+F1045+F1028+F1011+F994+F977+F960+F943+F926+F909+F892+F875+F858+F841+F824+F807+F790+F773+F756+F739+F722+F705+F688+F671+F654+F637+F620+F603+F586+F569+F552+F535+F518+F501+F484+F467+F450+F433+F416+F399+F382+F365+F348+F331+F314+F297+F280+F263+F246+F229+F212+F195+F178+F161+F144+F127+F110+F93+F76+F59+F42+F25+F8</f>
        <v>1711141.9</v>
      </c>
      <c r="G1096" s="10">
        <f t="shared" si="386"/>
        <v>0</v>
      </c>
      <c r="H1096" s="10">
        <f t="shared" si="386"/>
        <v>164611.2</v>
      </c>
      <c r="I1096" s="10">
        <f t="shared" si="386"/>
        <v>0</v>
      </c>
      <c r="J1096" s="10">
        <f t="shared" si="386"/>
        <v>12180</v>
      </c>
      <c r="K1096" s="10">
        <f t="shared" si="386"/>
        <v>619706.74</v>
      </c>
      <c r="L1096" s="10">
        <f t="shared" si="386"/>
        <v>0</v>
      </c>
      <c r="M1096" s="10">
        <f t="shared" si="386"/>
        <v>7490</v>
      </c>
      <c r="N1096" s="10">
        <f t="shared" si="386"/>
        <v>3364.3</v>
      </c>
      <c r="O1096" s="10">
        <f t="shared" si="386"/>
        <v>73093.51</v>
      </c>
      <c r="P1096" s="10">
        <f t="shared" si="386"/>
        <v>149470.8</v>
      </c>
      <c r="Q1096" s="29">
        <f t="shared" si="385"/>
        <v>2741058.4499999993</v>
      </c>
    </row>
    <row r="1097" spans="1:17" ht="12">
      <c r="A1097" s="11"/>
      <c r="B1097" s="43"/>
      <c r="C1097" s="39"/>
      <c r="D1097" s="10"/>
      <c r="E1097" s="10" t="s">
        <v>23</v>
      </c>
      <c r="F1097" s="10">
        <f aca="true" t="shared" si="387" ref="F1097:P1097">F1080+F1063+F1046+F1029+F1012+F995+F978+F961+F944+F927+F910+F893+F876+F859+F842+F825+F808+F791+F774+F757+F740+F723+F706+F689+F672+F655+F638+F621+F604+F587+F570+F553+F536+F519+F502+F485+F468+F451+F434+F417+F400+F383+F366+F349+F332+F315+F298+F281+F264+F247+F230+F213+F196+F179+F162+F145+F128+F111+F94+F77+F60+F43+F26+F9</f>
        <v>1015054.8799999999</v>
      </c>
      <c r="G1097" s="10">
        <f t="shared" si="387"/>
        <v>0</v>
      </c>
      <c r="H1097" s="10">
        <f t="shared" si="387"/>
        <v>118053.20000000001</v>
      </c>
      <c r="I1097" s="10">
        <f t="shared" si="387"/>
        <v>0</v>
      </c>
      <c r="J1097" s="10">
        <f t="shared" si="387"/>
        <v>6360</v>
      </c>
      <c r="K1097" s="10">
        <f t="shared" si="387"/>
        <v>333622.76</v>
      </c>
      <c r="L1097" s="10">
        <f t="shared" si="387"/>
        <v>0</v>
      </c>
      <c r="M1097" s="10">
        <f t="shared" si="387"/>
        <v>0</v>
      </c>
      <c r="N1097" s="10">
        <f t="shared" si="387"/>
        <v>3441.41</v>
      </c>
      <c r="O1097" s="10">
        <f t="shared" si="387"/>
        <v>43874.78</v>
      </c>
      <c r="P1097" s="10">
        <f t="shared" si="387"/>
        <v>156741.05999999997</v>
      </c>
      <c r="Q1097" s="29">
        <f t="shared" si="385"/>
        <v>1677148.0899999999</v>
      </c>
    </row>
    <row r="1098" spans="1:17" ht="12">
      <c r="A1098" s="11"/>
      <c r="B1098" s="43"/>
      <c r="C1098" s="39"/>
      <c r="D1098" s="10"/>
      <c r="E1098" s="14" t="s">
        <v>24</v>
      </c>
      <c r="F1098" s="14">
        <f aca="true" t="shared" si="388" ref="F1098:P1098">SUM(F1095:F1097)</f>
        <v>4104109.3</v>
      </c>
      <c r="G1098" s="14">
        <f t="shared" si="388"/>
        <v>344759.78</v>
      </c>
      <c r="H1098" s="14">
        <f t="shared" si="388"/>
        <v>408807.2</v>
      </c>
      <c r="I1098" s="14">
        <f t="shared" si="388"/>
        <v>25082.8</v>
      </c>
      <c r="J1098" s="14">
        <f t="shared" si="388"/>
        <v>26820</v>
      </c>
      <c r="K1098" s="14">
        <f t="shared" si="388"/>
        <v>1599040.76</v>
      </c>
      <c r="L1098" s="14">
        <f t="shared" si="388"/>
        <v>453047.86999999994</v>
      </c>
      <c r="M1098" s="14">
        <f t="shared" si="388"/>
        <v>7490</v>
      </c>
      <c r="N1098" s="14">
        <f t="shared" si="388"/>
        <v>10170</v>
      </c>
      <c r="O1098" s="14">
        <f t="shared" si="388"/>
        <v>194013.13999999998</v>
      </c>
      <c r="P1098" s="14">
        <f t="shared" si="388"/>
        <v>425976.1399999999</v>
      </c>
      <c r="Q1098" s="55">
        <f t="shared" si="385"/>
        <v>7599316.989999999</v>
      </c>
    </row>
    <row r="1099" spans="1:17" ht="12">
      <c r="A1099" s="11"/>
      <c r="B1099" s="43"/>
      <c r="C1099" s="39"/>
      <c r="D1099" s="10"/>
      <c r="E1099" s="10" t="s">
        <v>25</v>
      </c>
      <c r="F1099" s="10">
        <f aca="true" t="shared" si="389" ref="F1099:P1099">F1082+F1065+F1048+F1031+F1014+F997+F980+F963+F946+F929+F912+F895+F878+F861+F844+F827+F810+F793+F776+F759+F742+F725+F708+F691+F674+F657+F640+F623+F606+F589+F572+F555+F538+F521+F504+F487+F470+F453+F436+F419+F402+F385+F368+F351+F334+F317+F300+F283+F266+F249+F232+F215+F198+F181+F164+F147+F130+F113+F96+F79+F62+F45+F28+F11</f>
        <v>2343577.01</v>
      </c>
      <c r="G1099" s="10">
        <f t="shared" si="389"/>
        <v>0</v>
      </c>
      <c r="H1099" s="10">
        <f t="shared" si="389"/>
        <v>190294</v>
      </c>
      <c r="I1099" s="10">
        <f t="shared" si="389"/>
        <v>0</v>
      </c>
      <c r="J1099" s="10">
        <f t="shared" si="389"/>
        <v>7500</v>
      </c>
      <c r="K1099" s="10">
        <f t="shared" si="389"/>
        <v>973901.4199999999</v>
      </c>
      <c r="L1099" s="10">
        <f t="shared" si="389"/>
        <v>0</v>
      </c>
      <c r="M1099" s="10">
        <f t="shared" si="389"/>
        <v>601</v>
      </c>
      <c r="N1099" s="10">
        <f t="shared" si="389"/>
        <v>5389.919999999999</v>
      </c>
      <c r="O1099" s="10">
        <f t="shared" si="389"/>
        <v>72966.44</v>
      </c>
      <c r="P1099" s="10">
        <f t="shared" si="389"/>
        <v>171594.32</v>
      </c>
      <c r="Q1099" s="29">
        <f t="shared" si="385"/>
        <v>3765824.1099999994</v>
      </c>
    </row>
    <row r="1100" spans="1:17" ht="12">
      <c r="A1100" s="11"/>
      <c r="B1100" s="43"/>
      <c r="C1100" s="39"/>
      <c r="D1100" s="10"/>
      <c r="E1100" s="10" t="s">
        <v>26</v>
      </c>
      <c r="F1100" s="10">
        <f aca="true" t="shared" si="390" ref="F1100:P1100">F1083+F1066+F1049+F1032+F1015+F998+F981+F964+F947+F930+F913+F896+F879+F862+F845+F828+F811+F794+F777+F760+F743+F726+F709+F692+F675+F658+F641+F624+F607+F590+F573+F556+F539+F522+F505+F488+F471+F454+F437+F420+F403+F386+F369+F352+F335+F318+F301+F284+F267+F250+F233+F216+F199+F182+F165+F148+F131+F114+F97+F80+F63+F46+F29+F12</f>
        <v>1805203.7400000005</v>
      </c>
      <c r="G1100" s="10">
        <f t="shared" si="390"/>
        <v>0</v>
      </c>
      <c r="H1100" s="10">
        <f t="shared" si="390"/>
        <v>169008</v>
      </c>
      <c r="I1100" s="10">
        <f t="shared" si="390"/>
        <v>0</v>
      </c>
      <c r="J1100" s="10">
        <f t="shared" si="390"/>
        <v>16380</v>
      </c>
      <c r="K1100" s="10">
        <f t="shared" si="390"/>
        <v>718373.9300000002</v>
      </c>
      <c r="L1100" s="10">
        <f t="shared" si="390"/>
        <v>0</v>
      </c>
      <c r="M1100" s="10">
        <f t="shared" si="390"/>
        <v>8107.65</v>
      </c>
      <c r="N1100" s="10">
        <f t="shared" si="390"/>
        <v>3784.8500000000004</v>
      </c>
      <c r="O1100" s="10">
        <f t="shared" si="390"/>
        <v>99125.26</v>
      </c>
      <c r="P1100" s="10">
        <f t="shared" si="390"/>
        <v>176010.72</v>
      </c>
      <c r="Q1100" s="29">
        <f t="shared" si="385"/>
        <v>2995994.150000001</v>
      </c>
    </row>
    <row r="1101" spans="1:17" ht="12">
      <c r="A1101" s="11"/>
      <c r="B1101" s="43"/>
      <c r="C1101" s="39"/>
      <c r="D1101" s="10"/>
      <c r="E1101" s="10" t="s">
        <v>27</v>
      </c>
      <c r="F1101" s="10">
        <f aca="true" t="shared" si="391" ref="F1101:P1101">F1084+F1067+F1050+F1033+F1016+F999+F982+F965+F948+F931+F914+F897+F880+F863+F846+F829+F812+F795+F778+F761+F744+F727+F710+F693+F676+F659+F642+F625+F608+F591+F574+F557+F540+F523+F506+F489+F472+F455+F438+F421+F404+F387+F370+F353+F336+F319+F302+F285+F268+F251+F234+F217+F200+F183+F166+F149+F132+F115+F98+F81+F64+F47+F30+F13</f>
        <v>650230</v>
      </c>
      <c r="G1101" s="10">
        <f t="shared" si="391"/>
        <v>0</v>
      </c>
      <c r="H1101" s="10">
        <f t="shared" si="391"/>
        <v>108418</v>
      </c>
      <c r="I1101" s="10">
        <f t="shared" si="391"/>
        <v>0</v>
      </c>
      <c r="J1101" s="10">
        <f t="shared" si="391"/>
        <v>6660</v>
      </c>
      <c r="K1101" s="10">
        <f t="shared" si="391"/>
        <v>607820.5300000001</v>
      </c>
      <c r="L1101" s="10">
        <f t="shared" si="391"/>
        <v>0</v>
      </c>
      <c r="M1101" s="10">
        <f t="shared" si="391"/>
        <v>542.7</v>
      </c>
      <c r="N1101" s="10">
        <f t="shared" si="391"/>
        <v>3825.2299999999996</v>
      </c>
      <c r="O1101" s="10">
        <f t="shared" si="391"/>
        <v>47511.11</v>
      </c>
      <c r="P1101" s="10">
        <f t="shared" si="391"/>
        <v>218153.35</v>
      </c>
      <c r="Q1101" s="29">
        <f t="shared" si="385"/>
        <v>1643160.9200000004</v>
      </c>
    </row>
    <row r="1102" spans="1:17" ht="12">
      <c r="A1102" s="11"/>
      <c r="B1102" s="43"/>
      <c r="C1102" s="39"/>
      <c r="D1102" s="10"/>
      <c r="E1102" s="14" t="s">
        <v>28</v>
      </c>
      <c r="F1102" s="14">
        <f aca="true" t="shared" si="392" ref="F1102:P1102">SUM(F1099:F1101)</f>
        <v>4799010.75</v>
      </c>
      <c r="G1102" s="14">
        <f t="shared" si="392"/>
        <v>0</v>
      </c>
      <c r="H1102" s="14">
        <f t="shared" si="392"/>
        <v>467720</v>
      </c>
      <c r="I1102" s="14">
        <f t="shared" si="392"/>
        <v>0</v>
      </c>
      <c r="J1102" s="14">
        <f t="shared" si="392"/>
        <v>30540</v>
      </c>
      <c r="K1102" s="14">
        <f t="shared" si="392"/>
        <v>2300095.8800000004</v>
      </c>
      <c r="L1102" s="14">
        <f t="shared" si="392"/>
        <v>0</v>
      </c>
      <c r="M1102" s="14">
        <f t="shared" si="392"/>
        <v>9251.35</v>
      </c>
      <c r="N1102" s="14">
        <f t="shared" si="392"/>
        <v>13000</v>
      </c>
      <c r="O1102" s="14">
        <f t="shared" si="392"/>
        <v>219602.81</v>
      </c>
      <c r="P1102" s="14">
        <f t="shared" si="392"/>
        <v>565758.39</v>
      </c>
      <c r="Q1102" s="55">
        <f t="shared" si="385"/>
        <v>8404979.18</v>
      </c>
    </row>
    <row r="1103" spans="1:17" ht="12">
      <c r="A1103" s="11"/>
      <c r="B1103" s="43"/>
      <c r="C1103" s="39"/>
      <c r="D1103" s="10"/>
      <c r="E1103" s="10" t="s">
        <v>29</v>
      </c>
      <c r="F1103" s="10">
        <f aca="true" t="shared" si="393" ref="F1103:P1103">F1086+F1069+F1052+F1035+F1018+F1001+F984+F967+F950+F933+F916+F899+F882+F865+F848+F831+F814+F797+F780+F763+F746+F729+F712+F695+F678+F661+F644+F627+F610+F593+F576+F559+F542+F525+F508+F491+F474+F457+F440+F423+F406+F389+F372+F355+F338+F321+F304+F287+F270+F253+F236+F219+F202+F185+F168+F151+F134+F117+F100+F83+F66+F49+F32+F15</f>
        <v>2730961.9899999993</v>
      </c>
      <c r="G1103" s="10">
        <f t="shared" si="393"/>
        <v>0</v>
      </c>
      <c r="H1103" s="10">
        <f t="shared" si="393"/>
        <v>196372.4</v>
      </c>
      <c r="I1103" s="10">
        <f t="shared" si="393"/>
        <v>0</v>
      </c>
      <c r="J1103" s="10">
        <f t="shared" si="393"/>
        <v>8520</v>
      </c>
      <c r="K1103" s="10">
        <f t="shared" si="393"/>
        <v>675197.9599999997</v>
      </c>
      <c r="L1103" s="10">
        <f t="shared" si="393"/>
        <v>0</v>
      </c>
      <c r="M1103" s="10">
        <f t="shared" si="393"/>
        <v>8107.65</v>
      </c>
      <c r="N1103" s="10">
        <f t="shared" si="393"/>
        <v>5006.1</v>
      </c>
      <c r="O1103" s="10">
        <f t="shared" si="393"/>
        <v>82595.91999999998</v>
      </c>
      <c r="P1103" s="10">
        <f t="shared" si="393"/>
        <v>257860.55000000002</v>
      </c>
      <c r="Q1103" s="29">
        <f t="shared" si="385"/>
        <v>3964622.5699999984</v>
      </c>
    </row>
    <row r="1104" spans="1:17" ht="12">
      <c r="A1104" s="11"/>
      <c r="B1104" s="43"/>
      <c r="C1104" s="39"/>
      <c r="D1104" s="10"/>
      <c r="E1104" s="10" t="s">
        <v>30</v>
      </c>
      <c r="F1104" s="10">
        <f aca="true" t="shared" si="394" ref="F1104:P1104">F1087+F1070+F1053+F1036+F1019+F1002+F985+F968+F951+F934+F917+F900+F883+F866+F849+F832+F815+F798+F781+F764+F747+F730+F713+F696+F679+F662+F645+F628+F611+F594+F577+F560+F543+F526+F509+F492+F475+F458+F441+F424+F407+F390+F373+F356+F339+F322+F305+F288+F271+F254+F237+F220+F203+F186+F169+F152+F135+F118+F101+F84+F67+F50+F33+F16</f>
        <v>1778849.88</v>
      </c>
      <c r="G1104" s="10">
        <f t="shared" si="394"/>
        <v>0</v>
      </c>
      <c r="H1104" s="10">
        <f t="shared" si="394"/>
        <v>168900</v>
      </c>
      <c r="I1104" s="10">
        <f t="shared" si="394"/>
        <v>0</v>
      </c>
      <c r="J1104" s="10">
        <f t="shared" si="394"/>
        <v>13980</v>
      </c>
      <c r="K1104" s="10">
        <f t="shared" si="394"/>
        <v>652152.7899999999</v>
      </c>
      <c r="L1104" s="10">
        <f t="shared" si="394"/>
        <v>0</v>
      </c>
      <c r="M1104" s="10">
        <f t="shared" si="394"/>
        <v>0</v>
      </c>
      <c r="N1104" s="10">
        <f t="shared" si="394"/>
        <v>6308.09</v>
      </c>
      <c r="O1104" s="10">
        <f t="shared" si="394"/>
        <v>68662.43999999999</v>
      </c>
      <c r="P1104" s="10">
        <f t="shared" si="394"/>
        <v>246379.27</v>
      </c>
      <c r="Q1104" s="29">
        <f t="shared" si="385"/>
        <v>2935232.4699999997</v>
      </c>
    </row>
    <row r="1105" spans="1:17" ht="12">
      <c r="A1105" s="11"/>
      <c r="B1105" s="43"/>
      <c r="C1105" s="39"/>
      <c r="D1105" s="10"/>
      <c r="E1105" s="10" t="s">
        <v>31</v>
      </c>
      <c r="F1105" s="10">
        <f aca="true" t="shared" si="395" ref="F1105:P1105">F1088+F1071+F1054+F1037+F1020+F1003+F986+F969+F952+F935+F918+F901+F884+F867+F850+F833+F816+F799+F782+F765+F748+F731+F714+F697+F680+F663+F646+F629+F612+F595+F578+F561+F544+F527+F510+F493+F476+F459+F442+F425+F408+F391+F374+F357+F340+F323+F306+F289+F272+F255+F238+F221+F204+F187+F170+F153+F136+F119+F102+F85+F68+F51+F34+F17</f>
        <v>815488.1299999999</v>
      </c>
      <c r="G1105" s="10">
        <f t="shared" si="395"/>
        <v>0</v>
      </c>
      <c r="H1105" s="10">
        <f t="shared" si="395"/>
        <v>112227.59999999999</v>
      </c>
      <c r="I1105" s="10">
        <f t="shared" si="395"/>
        <v>0</v>
      </c>
      <c r="J1105" s="10">
        <f t="shared" si="395"/>
        <v>7200</v>
      </c>
      <c r="K1105" s="10">
        <f t="shared" si="395"/>
        <v>618738.1100000001</v>
      </c>
      <c r="L1105" s="10">
        <f t="shared" si="395"/>
        <v>0</v>
      </c>
      <c r="M1105" s="10">
        <f t="shared" si="395"/>
        <v>0</v>
      </c>
      <c r="N1105" s="10">
        <f t="shared" si="395"/>
        <v>5887.55</v>
      </c>
      <c r="O1105" s="10">
        <f t="shared" si="395"/>
        <v>59433.79</v>
      </c>
      <c r="P1105" s="10">
        <f t="shared" si="395"/>
        <v>324162.77999999997</v>
      </c>
      <c r="Q1105" s="29">
        <f t="shared" si="385"/>
        <v>1943137.96</v>
      </c>
    </row>
    <row r="1106" spans="1:17" ht="12">
      <c r="A1106" s="11"/>
      <c r="B1106" s="43"/>
      <c r="C1106" s="39"/>
      <c r="D1106" s="10"/>
      <c r="E1106" s="14" t="s">
        <v>32</v>
      </c>
      <c r="F1106" s="14">
        <f aca="true" t="shared" si="396" ref="F1106:P1106">SUM(F1103:F1105)</f>
        <v>5325299.999999999</v>
      </c>
      <c r="G1106" s="14">
        <f t="shared" si="396"/>
        <v>0</v>
      </c>
      <c r="H1106" s="14">
        <f t="shared" si="396"/>
        <v>477500</v>
      </c>
      <c r="I1106" s="14">
        <f t="shared" si="396"/>
        <v>0</v>
      </c>
      <c r="J1106" s="14">
        <f t="shared" si="396"/>
        <v>29700</v>
      </c>
      <c r="K1106" s="14">
        <f t="shared" si="396"/>
        <v>1946088.8599999996</v>
      </c>
      <c r="L1106" s="14">
        <f t="shared" si="396"/>
        <v>0</v>
      </c>
      <c r="M1106" s="14">
        <f t="shared" si="396"/>
        <v>8107.65</v>
      </c>
      <c r="N1106" s="14">
        <f t="shared" si="396"/>
        <v>17201.74</v>
      </c>
      <c r="O1106" s="14">
        <f t="shared" si="396"/>
        <v>210692.15</v>
      </c>
      <c r="P1106" s="14">
        <f t="shared" si="396"/>
        <v>828402.6</v>
      </c>
      <c r="Q1106" s="55">
        <f t="shared" si="385"/>
        <v>8842993</v>
      </c>
    </row>
    <row r="1107" spans="1:17" ht="12">
      <c r="A1107" s="11"/>
      <c r="B1107" s="43"/>
      <c r="C1107" s="39"/>
      <c r="D1107" s="10"/>
      <c r="E1107" s="10" t="s">
        <v>33</v>
      </c>
      <c r="F1107" s="10">
        <f aca="true" t="shared" si="397" ref="F1107:P1107">F1090+F1073+F1056+F1039+F1022+F1005+F988+F971+F954+F937+F920+F903+F886+F869+F852+F835+F818+F801+F784+F767+F750+F733+F716+F699+F682+F665+F648+F631+F614+F597+F580+F563+F546+F529+F512+F495+F478+F461+F444+F427+F410+F393+F376+F359+F342+F325+F308+F291+F274+F257+F240+F223+F206+F189+F172+F155+F138+F121+F104+F87+F70+F53+F36+F19</f>
        <v>2609482.1300000004</v>
      </c>
      <c r="G1107" s="10">
        <f t="shared" si="397"/>
        <v>0</v>
      </c>
      <c r="H1107" s="10">
        <f t="shared" si="397"/>
        <v>190462.8</v>
      </c>
      <c r="I1107" s="10">
        <f t="shared" si="397"/>
        <v>0</v>
      </c>
      <c r="J1107" s="10">
        <f t="shared" si="397"/>
        <v>9900</v>
      </c>
      <c r="K1107" s="10">
        <f t="shared" si="397"/>
        <v>620730.2299999999</v>
      </c>
      <c r="L1107" s="10">
        <f t="shared" si="397"/>
        <v>0</v>
      </c>
      <c r="M1107" s="10">
        <f t="shared" si="397"/>
        <v>0</v>
      </c>
      <c r="N1107" s="10">
        <f t="shared" si="397"/>
        <v>5467.0199999999995</v>
      </c>
      <c r="O1107" s="10">
        <f t="shared" si="397"/>
        <v>65537.91999999998</v>
      </c>
      <c r="P1107" s="10">
        <f t="shared" si="397"/>
        <v>428348.67</v>
      </c>
      <c r="Q1107" s="29">
        <f t="shared" si="385"/>
        <v>3929928.77</v>
      </c>
    </row>
    <row r="1108" spans="1:17" ht="12">
      <c r="A1108" s="11"/>
      <c r="B1108" s="43"/>
      <c r="C1108" s="39"/>
      <c r="D1108" s="10"/>
      <c r="E1108" s="10" t="s">
        <v>34</v>
      </c>
      <c r="F1108" s="10">
        <f aca="true" t="shared" si="398" ref="F1108:P1108">F1091+F1074+F1057+F1040+F1023+F1006+F989+F972+F955+F938+F921+F904+F887+F870+F853+F836+F819+F802+F785+F768+F751+F734+F717+F700+F683+F666+F649+F632+F615+F598+F581+F564+F547+F530+F513+F496+F479+F462+F445+F428+F411+F394+F377+F360+F343+F326+F309+F292+F275+F258+F241+F224+F207+F190+F173+F156+F139+F122+F105+F88+F71+F54+F37+F20</f>
        <v>1977035.2300000002</v>
      </c>
      <c r="G1108" s="10">
        <f t="shared" si="398"/>
        <v>0</v>
      </c>
      <c r="H1108" s="10">
        <f t="shared" si="398"/>
        <v>179364</v>
      </c>
      <c r="I1108" s="10">
        <f t="shared" si="398"/>
        <v>0</v>
      </c>
      <c r="J1108" s="10">
        <f t="shared" si="398"/>
        <v>16380</v>
      </c>
      <c r="K1108" s="10">
        <f t="shared" si="398"/>
        <v>298058.19000000006</v>
      </c>
      <c r="L1108" s="10">
        <f t="shared" si="398"/>
        <v>0</v>
      </c>
      <c r="M1108" s="10">
        <f t="shared" si="398"/>
        <v>8107.65</v>
      </c>
      <c r="N1108" s="10">
        <f t="shared" si="398"/>
        <v>5467.0199999999995</v>
      </c>
      <c r="O1108" s="10">
        <f t="shared" si="398"/>
        <v>78798.9</v>
      </c>
      <c r="P1108" s="10">
        <f t="shared" si="398"/>
        <v>464104.1099999999</v>
      </c>
      <c r="Q1108" s="29">
        <f t="shared" si="385"/>
        <v>3027315.1</v>
      </c>
    </row>
    <row r="1109" spans="1:17" ht="12">
      <c r="A1109" s="11"/>
      <c r="B1109" s="43"/>
      <c r="C1109" s="39"/>
      <c r="D1109" s="10"/>
      <c r="E1109" s="10" t="s">
        <v>35</v>
      </c>
      <c r="F1109" s="10">
        <f aca="true" t="shared" si="399" ref="F1109:P1109">F1092+F1075+F1058+F1041+F1024+F1007+F990+F973+F956+F939+F922+F905+F888+F871+F854+F837+F820+F803+F786+F769+F752+F735+F718+F701+F684+F667+F650+F633+F616+F599+F582+F565+F548+F531+F514+F497+F480+F463+F446+F429+F412+F395+F378+F361+F344+F327+F310+F293+F276+F259+F242+F225+F208+F191+F174+F157+F140+F123+F106+F89+F72+F55+F38+F21</f>
        <v>1494825.6500000004</v>
      </c>
      <c r="G1109" s="10">
        <f t="shared" si="399"/>
        <v>0</v>
      </c>
      <c r="H1109" s="10">
        <f t="shared" si="399"/>
        <v>144793.2</v>
      </c>
      <c r="I1109" s="10">
        <f t="shared" si="399"/>
        <v>0</v>
      </c>
      <c r="J1109" s="10">
        <f t="shared" si="399"/>
        <v>4740</v>
      </c>
      <c r="K1109" s="10">
        <f t="shared" si="399"/>
        <v>0</v>
      </c>
      <c r="L1109" s="10">
        <f t="shared" si="399"/>
        <v>0</v>
      </c>
      <c r="M1109" s="10">
        <f t="shared" si="399"/>
        <v>0</v>
      </c>
      <c r="N1109" s="10">
        <f t="shared" si="399"/>
        <v>5887.56</v>
      </c>
      <c r="O1109" s="10">
        <f t="shared" si="399"/>
        <v>64165.08</v>
      </c>
      <c r="P1109" s="10">
        <f t="shared" si="399"/>
        <v>419516.3900000001</v>
      </c>
      <c r="Q1109" s="29">
        <f t="shared" si="385"/>
        <v>2133927.8800000004</v>
      </c>
    </row>
    <row r="1110" spans="1:17" ht="12">
      <c r="A1110" s="11"/>
      <c r="B1110" s="43"/>
      <c r="C1110" s="39"/>
      <c r="D1110" s="10"/>
      <c r="E1110" s="14" t="s">
        <v>36</v>
      </c>
      <c r="F1110" s="14">
        <f aca="true" t="shared" si="400" ref="F1110:P1110">SUM(F1107:F1109)</f>
        <v>6081343.010000001</v>
      </c>
      <c r="G1110" s="14">
        <f t="shared" si="400"/>
        <v>0</v>
      </c>
      <c r="H1110" s="14">
        <f t="shared" si="400"/>
        <v>514620</v>
      </c>
      <c r="I1110" s="14">
        <f t="shared" si="400"/>
        <v>0</v>
      </c>
      <c r="J1110" s="14">
        <f t="shared" si="400"/>
        <v>31020</v>
      </c>
      <c r="K1110" s="14">
        <f t="shared" si="400"/>
        <v>918788.4199999999</v>
      </c>
      <c r="L1110" s="14">
        <f t="shared" si="400"/>
        <v>0</v>
      </c>
      <c r="M1110" s="14">
        <f t="shared" si="400"/>
        <v>8107.65</v>
      </c>
      <c r="N1110" s="14">
        <f t="shared" si="400"/>
        <v>16821.6</v>
      </c>
      <c r="O1110" s="14">
        <f t="shared" si="400"/>
        <v>208501.89999999997</v>
      </c>
      <c r="P1110" s="14">
        <f t="shared" si="400"/>
        <v>1311969.17</v>
      </c>
      <c r="Q1110" s="55">
        <f t="shared" si="385"/>
        <v>9091171.75</v>
      </c>
    </row>
    <row r="1111" spans="1:17" ht="12.75" thickBot="1">
      <c r="A1111" s="19"/>
      <c r="B1111" s="56"/>
      <c r="C1111" s="57"/>
      <c r="D1111" s="42"/>
      <c r="E1111" s="22" t="s">
        <v>37</v>
      </c>
      <c r="F1111" s="22">
        <f aca="true" t="shared" si="401" ref="F1111:Q1111">F1098+F1102+F1106+F1110</f>
        <v>20309763.060000002</v>
      </c>
      <c r="G1111" s="22">
        <f t="shared" si="401"/>
        <v>344759.78</v>
      </c>
      <c r="H1111" s="22">
        <f t="shared" si="401"/>
        <v>1868647.2</v>
      </c>
      <c r="I1111" s="22">
        <f t="shared" si="401"/>
        <v>25082.8</v>
      </c>
      <c r="J1111" s="22">
        <f t="shared" si="401"/>
        <v>118080</v>
      </c>
      <c r="K1111" s="22">
        <f t="shared" si="401"/>
        <v>6764013.92</v>
      </c>
      <c r="L1111" s="22">
        <f t="shared" si="401"/>
        <v>453047.86999999994</v>
      </c>
      <c r="M1111" s="22">
        <f t="shared" si="401"/>
        <v>32956.65</v>
      </c>
      <c r="N1111" s="22">
        <f t="shared" si="401"/>
        <v>57193.340000000004</v>
      </c>
      <c r="O1111" s="22">
        <f t="shared" si="401"/>
        <v>832810</v>
      </c>
      <c r="P1111" s="35">
        <f t="shared" si="401"/>
        <v>3132106.3</v>
      </c>
      <c r="Q1111" s="23">
        <f t="shared" si="401"/>
        <v>33938460.92</v>
      </c>
    </row>
    <row r="1112" spans="1:17" ht="12">
      <c r="A1112" s="58"/>
      <c r="B1112" s="59"/>
      <c r="C1112" s="60"/>
      <c r="Q1112" s="4"/>
    </row>
  </sheetData>
  <sheetProtection/>
  <mergeCells count="13">
    <mergeCell ref="D7:D23"/>
    <mergeCell ref="P5:P6"/>
    <mergeCell ref="J5:J6"/>
    <mergeCell ref="K5:L5"/>
    <mergeCell ref="O5:O6"/>
    <mergeCell ref="M5:N5"/>
    <mergeCell ref="Q5:Q6"/>
    <mergeCell ref="A5:A6"/>
    <mergeCell ref="B5:B6"/>
    <mergeCell ref="D5:D6"/>
    <mergeCell ref="E5:E6"/>
    <mergeCell ref="F5:G5"/>
    <mergeCell ref="H5:I5"/>
  </mergeCells>
  <hyperlinks>
    <hyperlink ref="B993" r:id="rId1" display="tiberiu_nichifor@yahoo.com"/>
    <hyperlink ref="B976" r:id="rId2" display="tiberiu_nichifor@yahoo.com"/>
    <hyperlink ref="B959" r:id="rId3" display="medre_irina@yahoo.com"/>
    <hyperlink ref="B252" r:id="rId4" display="tiberiu_nichifor@yahoo.com"/>
    <hyperlink ref="B248" r:id="rId5" display="medre_irina@yahoo.com"/>
    <hyperlink ref="B244" r:id="rId6" display="medre_irina@yahoo.com"/>
    <hyperlink ref="B256" r:id="rId7" display="tiberiu_nichifor@yahoo.com"/>
  </hyperlinks>
  <printOptions/>
  <pageMargins left="0.22" right="0.2" top="0.29" bottom="0.22" header="0.21" footer="0.17"/>
  <pageSetup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User</cp:lastModifiedBy>
  <dcterms:created xsi:type="dcterms:W3CDTF">2018-01-30T10:59:33Z</dcterms:created>
  <dcterms:modified xsi:type="dcterms:W3CDTF">2018-01-30T11:40:33Z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